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8975" windowHeight="11955" activeTab="1"/>
  </bookViews>
  <sheets>
    <sheet name="Summary" sheetId="1" r:id="rId1"/>
    <sheet name="Pricing Summary" sheetId="2" r:id="rId2"/>
    <sheet name="Summary of Changes" sheetId="3" r:id="rId3"/>
  </sheets>
  <externalReferences>
    <externalReference r:id="rId4"/>
  </externalReferences>
  <calcPr calcId="125725" iterate="1"/>
</workbook>
</file>

<file path=xl/calcChain.xml><?xml version="1.0" encoding="utf-8"?>
<calcChain xmlns="http://schemas.openxmlformats.org/spreadsheetml/2006/main">
  <c r="H23" i="3"/>
  <c r="G23"/>
  <c r="F23"/>
  <c r="E23"/>
  <c r="E42" i="1" l="1"/>
  <c r="E41"/>
  <c r="E43" s="1"/>
  <c r="G40"/>
  <c r="F40"/>
  <c r="E24"/>
  <c r="E25" s="1"/>
  <c r="G33"/>
  <c r="H33" s="1"/>
  <c r="F32"/>
  <c r="G32" s="1"/>
  <c r="H32" s="1"/>
  <c r="E26" l="1"/>
  <c r="F34"/>
  <c r="L54" i="2"/>
  <c r="E54"/>
  <c r="D54"/>
  <c r="C54"/>
  <c r="B54"/>
  <c r="L53"/>
  <c r="E53"/>
  <c r="D53"/>
  <c r="C53"/>
  <c r="B53"/>
  <c r="L52"/>
  <c r="E52"/>
  <c r="D52"/>
  <c r="C52"/>
  <c r="B52"/>
  <c r="L51"/>
  <c r="E51"/>
  <c r="D51"/>
  <c r="C51"/>
  <c r="B51"/>
  <c r="L50"/>
  <c r="E50"/>
  <c r="D50"/>
  <c r="C50"/>
  <c r="B50"/>
  <c r="L49"/>
  <c r="E49"/>
  <c r="D49"/>
  <c r="C49"/>
  <c r="B49"/>
  <c r="L48"/>
  <c r="E48"/>
  <c r="D48"/>
  <c r="C48"/>
  <c r="B48"/>
  <c r="L47"/>
  <c r="E47"/>
  <c r="D47"/>
  <c r="C47"/>
  <c r="B47"/>
  <c r="L46"/>
  <c r="E46"/>
  <c r="D46"/>
  <c r="C46"/>
  <c r="B46"/>
  <c r="L45"/>
  <c r="E45"/>
  <c r="D45"/>
  <c r="C45"/>
  <c r="B45"/>
  <c r="L44"/>
  <c r="E44"/>
  <c r="D44"/>
  <c r="C44"/>
  <c r="B44"/>
  <c r="L43"/>
  <c r="E43"/>
  <c r="D43"/>
  <c r="C43"/>
  <c r="B43"/>
  <c r="L42"/>
  <c r="E42"/>
  <c r="D42"/>
  <c r="C42"/>
  <c r="B42"/>
  <c r="L41"/>
  <c r="E41"/>
  <c r="D41"/>
  <c r="C41"/>
  <c r="B41"/>
  <c r="L40"/>
  <c r="E40"/>
  <c r="D40"/>
  <c r="C40"/>
  <c r="B40"/>
  <c r="L39"/>
  <c r="E39"/>
  <c r="D39"/>
  <c r="C39"/>
  <c r="B39"/>
  <c r="L38"/>
  <c r="E38"/>
  <c r="D38"/>
  <c r="C38"/>
  <c r="B38"/>
  <c r="L37"/>
  <c r="E37"/>
  <c r="D37"/>
  <c r="C37"/>
  <c r="B37"/>
  <c r="L36"/>
  <c r="E36"/>
  <c r="D36"/>
  <c r="C36"/>
  <c r="B36"/>
  <c r="L35"/>
  <c r="E35"/>
  <c r="D35"/>
  <c r="C35"/>
  <c r="B35"/>
  <c r="L34"/>
  <c r="E34"/>
  <c r="D34"/>
  <c r="C34"/>
  <c r="B34"/>
  <c r="L33"/>
  <c r="E33"/>
  <c r="D33"/>
  <c r="C33"/>
  <c r="B33"/>
  <c r="L32"/>
  <c r="E32"/>
  <c r="D32"/>
  <c r="C32"/>
  <c r="B32"/>
  <c r="L31"/>
  <c r="E31"/>
  <c r="D31"/>
  <c r="C31"/>
  <c r="B31"/>
  <c r="L30"/>
  <c r="E30"/>
  <c r="D30"/>
  <c r="C30"/>
  <c r="B30"/>
  <c r="L29"/>
  <c r="E29"/>
  <c r="D29"/>
  <c r="C29"/>
  <c r="B29"/>
  <c r="L28"/>
  <c r="E28"/>
  <c r="D28"/>
  <c r="C28"/>
  <c r="B28"/>
  <c r="L27"/>
  <c r="E27"/>
  <c r="D27"/>
  <c r="C27"/>
  <c r="B27"/>
  <c r="L26"/>
  <c r="E26"/>
  <c r="D26"/>
  <c r="C26"/>
  <c r="B26"/>
  <c r="L25"/>
  <c r="E25"/>
  <c r="D25"/>
  <c r="C25"/>
  <c r="B25"/>
  <c r="L24"/>
  <c r="E24"/>
  <c r="D24"/>
  <c r="C24"/>
  <c r="B24"/>
  <c r="L23"/>
  <c r="E23"/>
  <c r="D23"/>
  <c r="C23"/>
  <c r="B23"/>
  <c r="L22"/>
  <c r="E22"/>
  <c r="D22"/>
  <c r="C22"/>
  <c r="B22"/>
  <c r="L21"/>
  <c r="E21"/>
  <c r="D21"/>
  <c r="C21"/>
  <c r="B21"/>
  <c r="L20"/>
  <c r="E20"/>
  <c r="D20"/>
  <c r="C20"/>
  <c r="B20"/>
  <c r="L19"/>
  <c r="E19"/>
  <c r="D19"/>
  <c r="C19"/>
  <c r="B19"/>
  <c r="L18"/>
  <c r="E18"/>
  <c r="D18"/>
  <c r="C18"/>
  <c r="B18"/>
  <c r="L17"/>
  <c r="E17"/>
  <c r="D17"/>
  <c r="C17"/>
  <c r="B17"/>
  <c r="L16"/>
  <c r="E16"/>
  <c r="D16"/>
  <c r="C16"/>
  <c r="B16"/>
  <c r="L15"/>
  <c r="E15"/>
  <c r="D15"/>
  <c r="C15"/>
  <c r="B15"/>
  <c r="L14"/>
  <c r="E14"/>
  <c r="D14"/>
  <c r="C14"/>
  <c r="B14"/>
  <c r="L13"/>
  <c r="E13"/>
  <c r="D13"/>
  <c r="C13"/>
  <c r="B13"/>
  <c r="L12"/>
  <c r="E12"/>
  <c r="D12"/>
  <c r="C12"/>
  <c r="B12"/>
  <c r="L11"/>
  <c r="E11"/>
  <c r="D11"/>
  <c r="C11"/>
  <c r="B11"/>
  <c r="L10"/>
  <c r="E10"/>
  <c r="D10"/>
  <c r="C10"/>
  <c r="B10"/>
  <c r="B5" i="1"/>
  <c r="C4"/>
  <c r="B4"/>
  <c r="B4" i="3" s="1"/>
  <c r="C3" i="1"/>
  <c r="D3" i="3" s="1"/>
  <c r="B3" i="1"/>
  <c r="B3" i="3" s="1"/>
  <c r="C2" i="1"/>
  <c r="D2" i="3" s="1"/>
  <c r="B2" i="1"/>
  <c r="B2" i="3" s="1"/>
  <c r="C1" i="1"/>
  <c r="D1" i="3" s="1"/>
  <c r="B1" i="1"/>
  <c r="B1" i="3" s="1"/>
  <c r="D4"/>
  <c r="B5"/>
  <c r="F35" i="1" l="1"/>
  <c r="C60"/>
  <c r="C62" s="1"/>
  <c r="C63" s="1"/>
  <c r="B5" i="2"/>
  <c r="C4"/>
  <c r="B4"/>
  <c r="C3"/>
  <c r="B3"/>
  <c r="C2"/>
  <c r="B2"/>
  <c r="C1"/>
  <c r="B1"/>
  <c r="F17" i="1"/>
  <c r="F18" s="1"/>
  <c r="C40" l="1"/>
  <c r="E34"/>
  <c r="G34" s="1"/>
  <c r="H34" s="1"/>
  <c r="E35" l="1"/>
  <c r="G35" s="1"/>
  <c r="H35" s="1"/>
  <c r="C41"/>
  <c r="C42" l="1"/>
  <c r="F42" s="1"/>
  <c r="G42" s="1"/>
  <c r="F41"/>
  <c r="G41" s="1"/>
  <c r="C43"/>
  <c r="F43" s="1"/>
  <c r="G43" s="1"/>
  <c r="G25" i="3" l="1"/>
  <c r="H25" l="1"/>
  <c r="E25"/>
  <c r="F25"/>
  <c r="F27" s="1"/>
  <c r="F28" s="1"/>
  <c r="H27" l="1"/>
  <c r="H28" s="1"/>
  <c r="G27"/>
  <c r="G28" s="1"/>
  <c r="G12" l="1"/>
  <c r="H12"/>
  <c r="F12"/>
  <c r="E12"/>
  <c r="F10" i="2" l="1"/>
  <c r="F11"/>
  <c r="F44" l="1"/>
  <c r="F42"/>
  <c r="F43"/>
  <c r="F39"/>
  <c r="F40"/>
  <c r="F41"/>
  <c r="F13"/>
  <c r="F28"/>
  <c r="F26"/>
  <c r="F23"/>
  <c r="F36"/>
  <c r="F34"/>
  <c r="F31"/>
  <c r="F19"/>
  <c r="F12"/>
  <c r="F35"/>
  <c r="F25"/>
  <c r="F33"/>
  <c r="F21"/>
  <c r="F22"/>
  <c r="F16"/>
  <c r="F30"/>
  <c r="F24"/>
  <c r="F32"/>
  <c r="F14"/>
  <c r="F27"/>
  <c r="F18"/>
  <c r="F15"/>
  <c r="F29"/>
  <c r="F17"/>
  <c r="F38"/>
  <c r="F45" l="1"/>
  <c r="F46"/>
  <c r="F47" l="1"/>
  <c r="F48"/>
  <c r="F49" l="1"/>
  <c r="F50"/>
  <c r="F51" l="1"/>
  <c r="F52"/>
  <c r="F53" l="1"/>
  <c r="F54" l="1"/>
  <c r="F55" s="1"/>
  <c r="C19" i="3" l="1"/>
  <c r="D19" s="1"/>
  <c r="C20" l="1"/>
  <c r="D20" s="1"/>
  <c r="H24" i="2" l="1"/>
  <c r="H35"/>
  <c r="C21" i="3"/>
  <c r="D21" s="1"/>
  <c r="H15" i="2" l="1"/>
  <c r="H32"/>
  <c r="H53"/>
  <c r="H18"/>
  <c r="H11"/>
  <c r="H21"/>
  <c r="H26"/>
  <c r="H10"/>
  <c r="H25"/>
  <c r="H40"/>
  <c r="H52"/>
  <c r="H38"/>
  <c r="H29"/>
  <c r="H45"/>
  <c r="H33"/>
  <c r="H48"/>
  <c r="H34"/>
  <c r="H39"/>
  <c r="H12"/>
  <c r="H50"/>
  <c r="H37"/>
  <c r="H36"/>
  <c r="H28"/>
  <c r="H14"/>
  <c r="H30"/>
  <c r="H41"/>
  <c r="H44"/>
  <c r="H47"/>
  <c r="H17" l="1"/>
  <c r="H27"/>
  <c r="H42"/>
  <c r="H13"/>
  <c r="H19"/>
  <c r="H16"/>
  <c r="H49"/>
  <c r="H23"/>
  <c r="H20"/>
  <c r="H46"/>
  <c r="H31"/>
  <c r="H51"/>
  <c r="H22"/>
  <c r="G50" l="1"/>
  <c r="G21"/>
  <c r="G20"/>
  <c r="M20" l="1"/>
  <c r="I20"/>
  <c r="J20" s="1"/>
  <c r="I21"/>
  <c r="J21" s="1"/>
  <c r="M21"/>
  <c r="M50"/>
  <c r="I50"/>
  <c r="J50" s="1"/>
  <c r="G32"/>
  <c r="G19"/>
  <c r="G23"/>
  <c r="G34"/>
  <c r="G53"/>
  <c r="G18"/>
  <c r="G36"/>
  <c r="G35"/>
  <c r="G12"/>
  <c r="G37"/>
  <c r="G28"/>
  <c r="G31"/>
  <c r="G40"/>
  <c r="G25"/>
  <c r="G48"/>
  <c r="G49"/>
  <c r="G15"/>
  <c r="G45"/>
  <c r="G44"/>
  <c r="G22"/>
  <c r="G27"/>
  <c r="G14"/>
  <c r="G11"/>
  <c r="G47"/>
  <c r="G52"/>
  <c r="G29"/>
  <c r="G42"/>
  <c r="G46"/>
  <c r="G33"/>
  <c r="G26"/>
  <c r="G30"/>
  <c r="G16"/>
  <c r="G13"/>
  <c r="G38"/>
  <c r="G24"/>
  <c r="G39"/>
  <c r="G51"/>
  <c r="G41"/>
  <c r="G10"/>
  <c r="M41" l="1"/>
  <c r="I41"/>
  <c r="J41" s="1"/>
  <c r="M39"/>
  <c r="I39"/>
  <c r="J39" s="1"/>
  <c r="I24"/>
  <c r="J24" s="1"/>
  <c r="M24"/>
  <c r="M26"/>
  <c r="I26"/>
  <c r="J26" s="1"/>
  <c r="M33"/>
  <c r="I33"/>
  <c r="J33" s="1"/>
  <c r="M42"/>
  <c r="I42"/>
  <c r="J42" s="1"/>
  <c r="I29"/>
  <c r="J29" s="1"/>
  <c r="M29"/>
  <c r="I52"/>
  <c r="J52" s="1"/>
  <c r="M52"/>
  <c r="I11"/>
  <c r="J11" s="1"/>
  <c r="M11"/>
  <c r="I14"/>
  <c r="J14" s="1"/>
  <c r="M14"/>
  <c r="M22"/>
  <c r="I22"/>
  <c r="J22" s="1"/>
  <c r="M44"/>
  <c r="I44"/>
  <c r="J44" s="1"/>
  <c r="M45"/>
  <c r="I45"/>
  <c r="J45" s="1"/>
  <c r="M15"/>
  <c r="I15"/>
  <c r="J15" s="1"/>
  <c r="I49"/>
  <c r="J49" s="1"/>
  <c r="M49"/>
  <c r="I48"/>
  <c r="J48" s="1"/>
  <c r="M48"/>
  <c r="I25"/>
  <c r="J25" s="1"/>
  <c r="M25"/>
  <c r="M32"/>
  <c r="I32"/>
  <c r="J32" s="1"/>
  <c r="I10"/>
  <c r="J10" s="1"/>
  <c r="M10"/>
  <c r="M51"/>
  <c r="I51"/>
  <c r="J51" s="1"/>
  <c r="M38"/>
  <c r="I38"/>
  <c r="J38" s="1"/>
  <c r="I13"/>
  <c r="J13" s="1"/>
  <c r="M13"/>
  <c r="M16"/>
  <c r="I16"/>
  <c r="J16" s="1"/>
  <c r="I30"/>
  <c r="J30" s="1"/>
  <c r="M30"/>
  <c r="M46"/>
  <c r="I46"/>
  <c r="J46" s="1"/>
  <c r="M47"/>
  <c r="I47"/>
  <c r="J47" s="1"/>
  <c r="M27"/>
  <c r="I27"/>
  <c r="J27" s="1"/>
  <c r="M40"/>
  <c r="I40"/>
  <c r="J40" s="1"/>
  <c r="I31"/>
  <c r="J31" s="1"/>
  <c r="M31"/>
  <c r="I28"/>
  <c r="J28" s="1"/>
  <c r="M28"/>
  <c r="M37"/>
  <c r="I37"/>
  <c r="J37" s="1"/>
  <c r="I12"/>
  <c r="J12" s="1"/>
  <c r="M12"/>
  <c r="I35"/>
  <c r="J35" s="1"/>
  <c r="M35"/>
  <c r="I36"/>
  <c r="J36" s="1"/>
  <c r="M36"/>
  <c r="I18"/>
  <c r="J18" s="1"/>
  <c r="M18"/>
  <c r="M53"/>
  <c r="I53"/>
  <c r="J53" s="1"/>
  <c r="M34"/>
  <c r="I34"/>
  <c r="J34" s="1"/>
  <c r="I23"/>
  <c r="J23" s="1"/>
  <c r="M23"/>
  <c r="I19"/>
  <c r="J19" s="1"/>
  <c r="M19"/>
  <c r="H43"/>
  <c r="C22" i="3"/>
  <c r="D22" s="1"/>
  <c r="H54" i="2"/>
  <c r="G17" l="1"/>
  <c r="H55"/>
  <c r="C14" i="3"/>
  <c r="M17" i="2" l="1"/>
  <c r="I17"/>
  <c r="J17" s="1"/>
  <c r="D14" i="3"/>
  <c r="G43" i="2"/>
  <c r="C24" i="3"/>
  <c r="D24" s="1"/>
  <c r="G54" i="2"/>
  <c r="C18" i="3"/>
  <c r="D18" s="1"/>
  <c r="I54" i="2" l="1"/>
  <c r="J54" s="1"/>
  <c r="M54"/>
  <c r="M43"/>
  <c r="I43"/>
  <c r="J43" s="1"/>
  <c r="G55"/>
  <c r="I55" s="1"/>
  <c r="J55" s="1"/>
  <c r="E15" i="1"/>
  <c r="G15" s="1"/>
  <c r="H15" s="1"/>
  <c r="M55" i="2" l="1"/>
  <c r="E16" i="1" s="1"/>
  <c r="L16" s="1"/>
  <c r="C15" i="3"/>
  <c r="C16"/>
  <c r="D16" s="1"/>
  <c r="C17"/>
  <c r="D17" s="1"/>
  <c r="E17" i="1" l="1"/>
  <c r="G16"/>
  <c r="H16" s="1"/>
  <c r="C23"/>
  <c r="D15" i="3"/>
  <c r="D23" s="1"/>
  <c r="D25" s="1"/>
  <c r="C23"/>
  <c r="C25" s="1"/>
  <c r="G29" l="1"/>
  <c r="G30" s="1"/>
  <c r="E27"/>
  <c r="E28" s="1"/>
  <c r="E29"/>
  <c r="E30" s="1"/>
  <c r="F29"/>
  <c r="F30" s="1"/>
  <c r="H29"/>
  <c r="H30" s="1"/>
  <c r="F23" i="1"/>
  <c r="G23" s="1"/>
  <c r="C9" i="3"/>
  <c r="C24" i="1"/>
  <c r="E18"/>
  <c r="G18" s="1"/>
  <c r="H18" s="1"/>
  <c r="G17"/>
  <c r="H17" s="1"/>
  <c r="F24" l="1"/>
  <c r="G24" s="1"/>
  <c r="C25"/>
  <c r="C26" s="1"/>
  <c r="F26" s="1"/>
  <c r="G26" s="1"/>
  <c r="C10" i="3"/>
  <c r="D10" s="1"/>
  <c r="D9"/>
  <c r="F25" i="1" l="1"/>
  <c r="G25" s="1"/>
  <c r="C11" i="3"/>
  <c r="D11" l="1"/>
  <c r="D12" s="1"/>
  <c r="C12"/>
</calcChain>
</file>

<file path=xl/sharedStrings.xml><?xml version="1.0" encoding="utf-8"?>
<sst xmlns="http://schemas.openxmlformats.org/spreadsheetml/2006/main" count="151" uniqueCount="109">
  <si>
    <t>Overview:</t>
  </si>
  <si>
    <t>Due Date: May 27, 2010 via email</t>
  </si>
  <si>
    <t>Pricing Layout</t>
  </si>
  <si>
    <t>This proposal is a recompete of current work being performed for NATO.  Recompete is early, and this contract has changed the contractual requirements for billing by not having a single monthly amount for billing, but rather pricing and billing against 45 different work packages that can be ordered from.</t>
  </si>
  <si>
    <t>Item #</t>
  </si>
  <si>
    <t>Service</t>
  </si>
  <si>
    <t>Package Name</t>
  </si>
  <si>
    <t>Package Contents</t>
  </si>
  <si>
    <t>FFP</t>
  </si>
  <si>
    <t>Cost</t>
  </si>
  <si>
    <t>Fee</t>
  </si>
  <si>
    <t>Fee %</t>
  </si>
  <si>
    <t>Hours</t>
  </si>
  <si>
    <t>Monthly</t>
  </si>
  <si>
    <t>Annual</t>
  </si>
  <si>
    <t>Price</t>
  </si>
  <si>
    <t>Expected</t>
  </si>
  <si>
    <t>Total</t>
  </si>
  <si>
    <t>POP:</t>
  </si>
  <si>
    <t>10/1/10 - 9/31/11</t>
  </si>
  <si>
    <t>Proposal</t>
  </si>
  <si>
    <t>Total Cost</t>
  </si>
  <si>
    <t>Profit</t>
  </si>
  <si>
    <t>Profit %</t>
  </si>
  <si>
    <t>Revenue</t>
  </si>
  <si>
    <t>Elements</t>
  </si>
  <si>
    <t>Current</t>
  </si>
  <si>
    <t>Delta</t>
  </si>
  <si>
    <t>Delta %</t>
  </si>
  <si>
    <t>Notes:</t>
  </si>
  <si>
    <t>2) "Current" is based upon a single monthly amount for all performance, while "Proposal" is based upon 45 different prices for work packages.</t>
  </si>
  <si>
    <t>Pricing Assumptions:</t>
  </si>
  <si>
    <t>Labor</t>
  </si>
  <si>
    <t>NTM-I Summary</t>
  </si>
  <si>
    <t>Direct Labor</t>
  </si>
  <si>
    <t>Haz</t>
  </si>
  <si>
    <t>Hard</t>
  </si>
  <si>
    <t>Bonus</t>
  </si>
  <si>
    <t>R&amp;R</t>
  </si>
  <si>
    <t>None</t>
  </si>
  <si>
    <t>ODCs</t>
  </si>
  <si>
    <t>Current employees</t>
  </si>
  <si>
    <t>$1,000 / mth</t>
  </si>
  <si>
    <t>DBA</t>
  </si>
  <si>
    <t>War Risk</t>
  </si>
  <si>
    <t>Visas</t>
  </si>
  <si>
    <t>Passports</t>
  </si>
  <si>
    <t>Truck Lease</t>
  </si>
  <si>
    <t>Fuel</t>
  </si>
  <si>
    <t>Cell Phone</t>
  </si>
  <si>
    <t>Travel</t>
  </si>
  <si>
    <t>Tool Kits</t>
  </si>
  <si>
    <t>Cost Center</t>
  </si>
  <si>
    <t>IS</t>
  </si>
  <si>
    <t>$400 per each in and out trip, 25% attrition and R&amp;R for all</t>
  </si>
  <si>
    <t>$175 per Emp</t>
  </si>
  <si>
    <t>Based on current Costs</t>
  </si>
  <si>
    <t>Based on 25% attrition</t>
  </si>
  <si>
    <t>$1,000 plug</t>
  </si>
  <si>
    <t>Per Day</t>
  </si>
  <si>
    <t>Day / Wk</t>
  </si>
  <si>
    <t>Total / Wk</t>
  </si>
  <si>
    <t>Wk / Yr</t>
  </si>
  <si>
    <t>Description</t>
  </si>
  <si>
    <t>Pricing Summary</t>
  </si>
  <si>
    <t>Additional Assumptions:</t>
  </si>
  <si>
    <t>1) Deviation from requirements, Customer must order one of each work package.</t>
  </si>
  <si>
    <t>2) Staffing and pricing does not change based upon the different quantities supported</t>
  </si>
  <si>
    <t>to Order</t>
  </si>
  <si>
    <t>Immunization</t>
  </si>
  <si>
    <t>FTE</t>
  </si>
  <si>
    <t>Normal (except for PM in Belgium)</t>
  </si>
  <si>
    <t>Base Period</t>
  </si>
  <si>
    <t>Option 1</t>
  </si>
  <si>
    <t>Option 2</t>
  </si>
  <si>
    <t>Escalation:</t>
  </si>
  <si>
    <t>1) "Current" Amounts are based upon JSR data for a period of performance of 4/1/10 - 4/30/10 and then prorated</t>
  </si>
  <si>
    <t>$400 per attrition employees</t>
  </si>
  <si>
    <t>1 Truck / 1 Vans based on current invoices</t>
  </si>
  <si>
    <t>No cost - fuel available on base</t>
  </si>
  <si>
    <t>BP</t>
  </si>
  <si>
    <t>Opt1</t>
  </si>
  <si>
    <t>Opt2</t>
  </si>
  <si>
    <t>HAZ/Hard</t>
  </si>
  <si>
    <t xml:space="preserve">PRB </t>
  </si>
  <si>
    <t>OH</t>
  </si>
  <si>
    <t>Mats</t>
  </si>
  <si>
    <t>MH</t>
  </si>
  <si>
    <t>SUBs</t>
  </si>
  <si>
    <t>G&amp;A</t>
  </si>
  <si>
    <t>Total Price</t>
  </si>
  <si>
    <t>Step Delta</t>
  </si>
  <si>
    <t>Step Percent</t>
  </si>
  <si>
    <t>Delta Original</t>
  </si>
  <si>
    <t>Delta Original %</t>
  </si>
  <si>
    <t>(1) Haz / Hard 1st 40</t>
  </si>
  <si>
    <t>(2) = 1 + Haz / Hard to 25%</t>
  </si>
  <si>
    <t>(3) 2 + Bonus to 18K</t>
  </si>
  <si>
    <t>(4) 3 + Fee to 15%</t>
  </si>
  <si>
    <t>NTM-I Summary of Changes / Scenarios</t>
  </si>
  <si>
    <t>Minimum</t>
  </si>
  <si>
    <t>Pricing Summay Expected:</t>
  </si>
  <si>
    <t>Pricing Summay Minimum:</t>
  </si>
  <si>
    <t>Min</t>
  </si>
  <si>
    <t>Order</t>
  </si>
  <si>
    <t>X</t>
  </si>
  <si>
    <t>MT Original Prop</t>
  </si>
  <si>
    <t>Base Line</t>
  </si>
  <si>
    <t>Also Inclusive of half time PCA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</si>
</sst>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44" fontId="0" fillId="0" borderId="1" xfId="0" applyNumberFormat="1" applyBorder="1"/>
    <xf numFmtId="10" fontId="0" fillId="0" borderId="1" xfId="4" applyNumberFormat="1" applyFont="1" applyBorder="1"/>
    <xf numFmtId="44" fontId="0" fillId="0" borderId="1" xfId="2" applyFont="1" applyBorder="1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44" fontId="0" fillId="0" borderId="1" xfId="0" applyNumberFormat="1" applyBorder="1" applyAlignment="1">
      <alignment vertical="top" wrapText="1"/>
    </xf>
    <xf numFmtId="10" fontId="0" fillId="0" borderId="1" xfId="4" applyNumberFormat="1" applyFont="1" applyBorder="1" applyAlignment="1">
      <alignment vertical="top" wrapText="1"/>
    </xf>
    <xf numFmtId="44" fontId="0" fillId="0" borderId="1" xfId="2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4" fontId="2" fillId="2" borderId="1" xfId="0" applyNumberFormat="1" applyFont="1" applyFill="1" applyBorder="1" applyAlignment="1">
      <alignment vertical="top" wrapText="1"/>
    </xf>
    <xf numFmtId="10" fontId="2" fillId="2" borderId="1" xfId="4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0" fillId="2" borderId="2" xfId="0" applyFill="1" applyBorder="1"/>
    <xf numFmtId="0" fontId="2" fillId="2" borderId="2" xfId="0" applyFont="1" applyFill="1" applyBorder="1"/>
    <xf numFmtId="0" fontId="2" fillId="2" borderId="3" xfId="0" applyFont="1" applyFill="1" applyBorder="1" applyAlignment="1">
      <alignment horizontal="right"/>
    </xf>
    <xf numFmtId="44" fontId="2" fillId="2" borderId="1" xfId="2" applyFont="1" applyFill="1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2" borderId="1" xfId="0" applyFill="1" applyBorder="1"/>
    <xf numFmtId="10" fontId="2" fillId="2" borderId="1" xfId="4" applyNumberFormat="1" applyFont="1" applyFill="1" applyBorder="1"/>
    <xf numFmtId="0" fontId="3" fillId="0" borderId="0" xfId="0" applyFont="1"/>
    <xf numFmtId="0" fontId="4" fillId="0" borderId="0" xfId="0" applyFont="1"/>
    <xf numFmtId="10" fontId="0" fillId="0" borderId="1" xfId="0" applyNumberFormat="1" applyBorder="1"/>
    <xf numFmtId="0" fontId="0" fillId="0" borderId="1" xfId="0" applyBorder="1" applyAlignment="1">
      <alignment vertical="top"/>
    </xf>
    <xf numFmtId="0" fontId="0" fillId="0" borderId="1" xfId="0" applyFill="1" applyBorder="1"/>
    <xf numFmtId="0" fontId="2" fillId="0" borderId="1" xfId="0" applyFont="1" applyBorder="1" applyAlignment="1">
      <alignment vertical="top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0" fillId="0" borderId="2" xfId="0" applyBorder="1" applyAlignment="1"/>
    <xf numFmtId="0" fontId="0" fillId="0" borderId="6" xfId="0" applyBorder="1" applyAlignment="1"/>
    <xf numFmtId="0" fontId="0" fillId="0" borderId="3" xfId="0" applyBorder="1" applyAlignment="1"/>
    <xf numFmtId="43" fontId="2" fillId="2" borderId="1" xfId="1" applyFont="1" applyFill="1" applyBorder="1" applyAlignment="1">
      <alignment vertical="top" wrapText="1"/>
    </xf>
    <xf numFmtId="43" fontId="0" fillId="0" borderId="0" xfId="0" applyNumberFormat="1"/>
    <xf numFmtId="0" fontId="7" fillId="0" borderId="1" xfId="0" applyFont="1" applyBorder="1"/>
    <xf numFmtId="0" fontId="7" fillId="3" borderId="1" xfId="0" applyFont="1" applyFill="1" applyBorder="1"/>
    <xf numFmtId="0" fontId="7" fillId="4" borderId="1" xfId="0" applyFont="1" applyFill="1" applyBorder="1"/>
    <xf numFmtId="10" fontId="7" fillId="4" borderId="1" xfId="0" applyNumberFormat="1" applyFont="1" applyFill="1" applyBorder="1"/>
    <xf numFmtId="44" fontId="7" fillId="3" borderId="1" xfId="0" applyNumberFormat="1" applyFont="1" applyFill="1" applyBorder="1"/>
    <xf numFmtId="10" fontId="7" fillId="2" borderId="1" xfId="4" applyNumberFormat="1" applyFont="1" applyFill="1" applyBorder="1"/>
    <xf numFmtId="0" fontId="0" fillId="0" borderId="2" xfId="0" applyBorder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7" fillId="5" borderId="1" xfId="0" applyFont="1" applyFill="1" applyBorder="1"/>
    <xf numFmtId="44" fontId="7" fillId="5" borderId="1" xfId="0" applyNumberFormat="1" applyFont="1" applyFill="1" applyBorder="1"/>
    <xf numFmtId="0" fontId="7" fillId="5" borderId="1" xfId="0" applyFont="1" applyFill="1" applyBorder="1" applyAlignment="1">
      <alignment horizontal="center"/>
    </xf>
    <xf numFmtId="0" fontId="7" fillId="0" borderId="0" xfId="0" applyFont="1"/>
    <xf numFmtId="44" fontId="7" fillId="5" borderId="1" xfId="2" applyFont="1" applyFill="1" applyBorder="1"/>
    <xf numFmtId="10" fontId="7" fillId="5" borderId="1" xfId="4" applyNumberFormat="1" applyFont="1" applyFill="1" applyBorder="1"/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44" fontId="0" fillId="0" borderId="1" xfId="0" applyNumberFormat="1" applyFill="1" applyBorder="1" applyAlignment="1">
      <alignment vertical="top" wrapText="1"/>
    </xf>
    <xf numFmtId="10" fontId="0" fillId="0" borderId="1" xfId="4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44" fontId="0" fillId="0" borderId="1" xfId="2" applyFont="1" applyFill="1" applyBorder="1" applyAlignment="1">
      <alignment vertical="top" wrapText="1"/>
    </xf>
    <xf numFmtId="10" fontId="0" fillId="0" borderId="1" xfId="4" applyNumberFormat="1" applyFont="1" applyBorder="1" applyAlignment="1">
      <alignment horizontal="center" vertical="top" wrapText="1"/>
    </xf>
    <xf numFmtId="44" fontId="1" fillId="0" borderId="1" xfId="2" applyFont="1" applyFill="1" applyBorder="1"/>
    <xf numFmtId="0" fontId="7" fillId="0" borderId="0" xfId="0" applyFont="1" applyFill="1" applyBorder="1"/>
    <xf numFmtId="10" fontId="7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44" fontId="0" fillId="0" borderId="1" xfId="0" applyNumberFormat="1" applyFill="1" applyBorder="1"/>
    <xf numFmtId="10" fontId="0" fillId="0" borderId="1" xfId="4" applyNumberFormat="1" applyFont="1" applyFill="1" applyBorder="1"/>
    <xf numFmtId="0" fontId="7" fillId="0" borderId="1" xfId="0" applyFont="1" applyBorder="1" applyAlignment="1">
      <alignment horizontal="center"/>
    </xf>
    <xf numFmtId="10" fontId="7" fillId="3" borderId="1" xfId="4" applyNumberFormat="1" applyFont="1" applyFill="1" applyBorder="1"/>
    <xf numFmtId="0" fontId="0" fillId="0" borderId="7" xfId="0" applyBorder="1"/>
    <xf numFmtId="0" fontId="4" fillId="0" borderId="8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7" fillId="0" borderId="13" xfId="0" applyFont="1" applyFill="1" applyBorder="1"/>
    <xf numFmtId="10" fontId="7" fillId="0" borderId="13" xfId="0" applyNumberFormat="1" applyFont="1" applyFill="1" applyBorder="1"/>
    <xf numFmtId="0" fontId="2" fillId="0" borderId="13" xfId="0" applyFont="1" applyFill="1" applyBorder="1" applyAlignment="1">
      <alignment horizontal="center"/>
    </xf>
    <xf numFmtId="0" fontId="0" fillId="0" borderId="14" xfId="0" applyBorder="1"/>
    <xf numFmtId="10" fontId="0" fillId="0" borderId="1" xfId="0" applyNumberFormat="1" applyBorder="1" applyAlignment="1">
      <alignment vertical="top" wrapText="1"/>
    </xf>
    <xf numFmtId="10" fontId="0" fillId="0" borderId="0" xfId="0" applyNumberFormat="1"/>
    <xf numFmtId="44" fontId="0" fillId="0" borderId="0" xfId="0" applyNumberFormat="1"/>
    <xf numFmtId="0" fontId="0" fillId="0" borderId="2" xfId="0" applyBorder="1" applyAlignment="1"/>
    <xf numFmtId="0" fontId="0" fillId="0" borderId="6" xfId="0" applyBorder="1" applyAlignment="1"/>
    <xf numFmtId="0" fontId="0" fillId="0" borderId="3" xfId="0" applyBorder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left" wrapText="1"/>
    </xf>
    <xf numFmtId="10" fontId="0" fillId="0" borderId="2" xfId="0" applyNumberFormat="1" applyBorder="1" applyAlignment="1">
      <alignment horizontal="left" vertical="top" wrapText="1"/>
    </xf>
    <xf numFmtId="10" fontId="0" fillId="0" borderId="6" xfId="0" applyNumberFormat="1" applyBorder="1" applyAlignment="1">
      <alignment horizontal="left" vertical="top" wrapText="1"/>
    </xf>
    <xf numFmtId="10" fontId="0" fillId="0" borderId="3" xfId="0" applyNumberForma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top" wrapText="1"/>
    </xf>
  </cellXfs>
  <cellStyles count="5">
    <cellStyle name="Comma" xfId="1" builtinId="3"/>
    <cellStyle name="Currency" xfId="2" builtinId="4"/>
    <cellStyle name="Normal" xfId="0" builtinId="0"/>
    <cellStyle name="Normal 5" xfId="3"/>
    <cellStyle name="Percent" xfId="4" builtinId="5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externalLink" Target="externalLinks/externalLink1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%20Model%20Template%20NTM-I%20(KS)%20-%20CW%20Intende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ravel"/>
      <sheetName val="BrassRing"/>
      <sheetName val="DL_5_3_10"/>
      <sheetName val="Assumptions"/>
      <sheetName val="Esc Code"/>
      <sheetName val="Indirect Lookup"/>
      <sheetName val="Travel (25% Churn)"/>
      <sheetName val="InputSheet"/>
      <sheetName val="SubRateConversion"/>
      <sheetName val="Sub Rates"/>
      <sheetName val="WBS-Price"/>
      <sheetName val="NTM-I BOE(All)"/>
      <sheetName val="SOW Work Pkgs (PricesOnly)"/>
      <sheetName val="SOW Work Pkgs (Price&amp;Cost)"/>
      <sheetName val="WBS Task Descriptions"/>
      <sheetName val="GSA - Price Analysis"/>
      <sheetName val="GSA - Submittal"/>
      <sheetName val="CPFF"/>
      <sheetName val="Price Analysis &quot;Sub-1&quot;"/>
      <sheetName val="Indirects"/>
      <sheetName val="T&amp;M1_Ph1(old)"/>
      <sheetName val="T&amp;M1_Ph1"/>
      <sheetName val="T&amp;M1_Ph2"/>
      <sheetName val="T&amp;M1_Ph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C1" t="str">
            <v>RFP:</v>
          </cell>
          <cell r="D1" t="str">
            <v>JLA10030/LR-RBG-6000447673</v>
          </cell>
        </row>
        <row r="2">
          <cell r="C2" t="str">
            <v>Title:</v>
          </cell>
          <cell r="D2" t="str">
            <v>NATO ITM-I</v>
          </cell>
        </row>
        <row r="3">
          <cell r="C3" t="str">
            <v>Offeror:</v>
          </cell>
          <cell r="D3" t="str">
            <v>ManTech Telecommunications and Information Systems Corporation</v>
          </cell>
        </row>
        <row r="4">
          <cell r="C4" t="str">
            <v>PL:</v>
          </cell>
          <cell r="D4" t="str">
            <v>P-13526</v>
          </cell>
        </row>
        <row r="5">
          <cell r="C5" t="str">
            <v>Report:</v>
          </cell>
        </row>
      </sheetData>
      <sheetData sheetId="8"/>
      <sheetData sheetId="9"/>
      <sheetData sheetId="10">
        <row r="49">
          <cell r="O49">
            <v>83556</v>
          </cell>
        </row>
        <row r="53">
          <cell r="O53">
            <v>36491.5</v>
          </cell>
        </row>
        <row r="58">
          <cell r="O58">
            <v>36018</v>
          </cell>
        </row>
        <row r="62">
          <cell r="O62">
            <v>3236</v>
          </cell>
        </row>
        <row r="82">
          <cell r="O82">
            <v>44439.938511278189</v>
          </cell>
        </row>
        <row r="90">
          <cell r="O90">
            <v>1000</v>
          </cell>
        </row>
        <row r="98">
          <cell r="O98">
            <v>57077</v>
          </cell>
        </row>
        <row r="102">
          <cell r="O102">
            <v>1548</v>
          </cell>
        </row>
        <row r="108">
          <cell r="O108">
            <v>20244</v>
          </cell>
        </row>
        <row r="117">
          <cell r="O117">
            <v>70910</v>
          </cell>
        </row>
      </sheetData>
      <sheetData sheetId="11"/>
      <sheetData sheetId="12"/>
      <sheetData sheetId="13">
        <row r="3">
          <cell r="D3">
            <v>3403325.2621353385</v>
          </cell>
        </row>
        <row r="9">
          <cell r="B9" t="str">
            <v>1.a</v>
          </cell>
          <cell r="C9" t="str">
            <v>NSIZ</v>
          </cell>
          <cell r="D9" t="str">
            <v>NSIZ /1</v>
          </cell>
          <cell r="E9" t="str">
            <v>NS Server Admin, Network and cable Infrastructure, Desktop Support in the IZ &lt;= 40 workstations</v>
          </cell>
          <cell r="G9">
            <v>17572.48</v>
          </cell>
          <cell r="H9">
            <v>14057.48</v>
          </cell>
          <cell r="O9">
            <v>172.9</v>
          </cell>
        </row>
        <row r="10">
          <cell r="B10" t="str">
            <v>1.b</v>
          </cell>
          <cell r="C10" t="str">
            <v>NSIZ</v>
          </cell>
          <cell r="D10" t="str">
            <v>NSIZ /2</v>
          </cell>
          <cell r="E10" t="str">
            <v>NS Server Admin, Network and cable Infrastructure, Desktop Support in the IZ &gt; 40 &lt;= 80 workstations</v>
          </cell>
          <cell r="G10">
            <v>17572.48</v>
          </cell>
          <cell r="H10">
            <v>14057.48</v>
          </cell>
          <cell r="O10">
            <v>172.9</v>
          </cell>
          <cell r="P10" t="str">
            <v>X</v>
          </cell>
        </row>
        <row r="11">
          <cell r="B11" t="str">
            <v>2.a</v>
          </cell>
          <cell r="C11" t="str">
            <v>UNIZ</v>
          </cell>
          <cell r="D11" t="str">
            <v>UNIZ /1</v>
          </cell>
          <cell r="E11" t="str">
            <v xml:space="preserve">Unclassified Server Admin, Network and cable Infrastructure, Desktop Support in the IZ for &lt;=40 Workstations </v>
          </cell>
          <cell r="G11">
            <v>17572.48</v>
          </cell>
          <cell r="H11">
            <v>14057.48</v>
          </cell>
          <cell r="O11">
            <v>172.9</v>
          </cell>
        </row>
        <row r="12">
          <cell r="B12" t="str">
            <v>2.b</v>
          </cell>
          <cell r="C12" t="str">
            <v>UNIZ</v>
          </cell>
          <cell r="D12" t="str">
            <v>UNIZ /2</v>
          </cell>
          <cell r="E12" t="str">
            <v>Unclassified Server Admin, Network and cable Infrastructure, Desktop Support in the IZ for &gt;40 and &lt;= 100 Workstations</v>
          </cell>
          <cell r="G12">
            <v>17572.48</v>
          </cell>
          <cell r="H12">
            <v>14057.48</v>
          </cell>
          <cell r="O12">
            <v>172.9</v>
          </cell>
          <cell r="P12" t="str">
            <v>X</v>
          </cell>
        </row>
        <row r="13">
          <cell r="B13" t="str">
            <v>2.c</v>
          </cell>
          <cell r="C13" t="str">
            <v>UNIZ</v>
          </cell>
          <cell r="D13" t="str">
            <v>UNIZ /3</v>
          </cell>
          <cell r="E13" t="str">
            <v>Unclassified Server Admin, Network and cable Infrastructure, Desktop Support in the IZ for &gt;100 and &lt;= 150 Workstations</v>
          </cell>
          <cell r="G13">
            <v>17572.48</v>
          </cell>
          <cell r="H13">
            <v>14057.48</v>
          </cell>
          <cell r="O13">
            <v>172.9</v>
          </cell>
        </row>
        <row r="14">
          <cell r="B14" t="str">
            <v>3.a</v>
          </cell>
          <cell r="C14" t="str">
            <v xml:space="preserve">Minor Networks and Standalone W/S  </v>
          </cell>
          <cell r="D14" t="str">
            <v>MNSA/1</v>
          </cell>
          <cell r="E14" t="str">
            <v>Desktop Support for &lt;= 20 standalone workstations and Laptops in the IZ</v>
          </cell>
          <cell r="G14">
            <v>18660.712</v>
          </cell>
          <cell r="H14">
            <v>14928.712</v>
          </cell>
          <cell r="O14">
            <v>53.2</v>
          </cell>
          <cell r="P14" t="str">
            <v>X</v>
          </cell>
        </row>
        <row r="15">
          <cell r="B15" t="str">
            <v>3.b</v>
          </cell>
          <cell r="C15" t="str">
            <v xml:space="preserve">Minor Networks and Standalone W/S  </v>
          </cell>
          <cell r="D15" t="str">
            <v>MNSA/2</v>
          </cell>
          <cell r="E15" t="str">
            <v xml:space="preserve">Administrative Support for &gt;20 &lt;=50 standalone Workstations or Laptops as detailed in Statement of Work </v>
          </cell>
          <cell r="G15">
            <v>18660.712</v>
          </cell>
          <cell r="H15">
            <v>14928.712</v>
          </cell>
          <cell r="O15">
            <v>53.2</v>
          </cell>
        </row>
        <row r="16">
          <cell r="B16" t="str">
            <v>3.c</v>
          </cell>
          <cell r="C16" t="str">
            <v xml:space="preserve">Minor Networks and Standalone W/S  </v>
          </cell>
          <cell r="D16" t="str">
            <v>MNSA/3</v>
          </cell>
          <cell r="E16" t="str">
            <v>Support for NDSS, including all workstations and associated network devices and infrastructure</v>
          </cell>
          <cell r="G16">
            <v>17257.099999999999</v>
          </cell>
          <cell r="H16">
            <v>13805.1</v>
          </cell>
          <cell r="O16">
            <v>186.2</v>
          </cell>
          <cell r="P16" t="str">
            <v>X</v>
          </cell>
        </row>
        <row r="17">
          <cell r="B17">
            <v>4</v>
          </cell>
          <cell r="C17" t="str">
            <v>VTC</v>
          </cell>
          <cell r="D17" t="str">
            <v>VTCIZ/1</v>
          </cell>
          <cell r="E17" t="str">
            <v>Provision, maintenance, operation and administration of VTC Services and equipment in the IZ</v>
          </cell>
          <cell r="G17">
            <v>4929.7119999999995</v>
          </cell>
          <cell r="H17">
            <v>3943.712</v>
          </cell>
          <cell r="O17">
            <v>53.2</v>
          </cell>
          <cell r="P17" t="str">
            <v>X</v>
          </cell>
        </row>
        <row r="18">
          <cell r="B18" t="str">
            <v>5.a</v>
          </cell>
          <cell r="C18" t="str">
            <v xml:space="preserve">Service desk and Network Monitoring </v>
          </cell>
          <cell r="D18" t="str">
            <v>SDNM/1</v>
          </cell>
          <cell r="E18" t="str">
            <v xml:space="preserve">Provision of Service Desk service for equipment in the IZ </v>
          </cell>
          <cell r="G18">
            <v>30848.925999999999</v>
          </cell>
          <cell r="H18">
            <v>24678.925999999999</v>
          </cell>
          <cell r="O18">
            <v>239.39999999999998</v>
          </cell>
          <cell r="P18" t="str">
            <v>X</v>
          </cell>
        </row>
        <row r="19">
          <cell r="B19" t="str">
            <v>5.b</v>
          </cell>
          <cell r="C19" t="str">
            <v>Service desk and Network Monitoring</v>
          </cell>
          <cell r="D19" t="str">
            <v>SDNM/2</v>
          </cell>
          <cell r="E19" t="str">
            <v xml:space="preserve">Provision of Service Desk service for equipment in Camp Dublin  </v>
          </cell>
          <cell r="G19">
            <v>13056.206</v>
          </cell>
          <cell r="H19">
            <v>10445.206</v>
          </cell>
          <cell r="P19" t="str">
            <v>X</v>
          </cell>
        </row>
        <row r="20">
          <cell r="B20" t="str">
            <v>5.c</v>
          </cell>
          <cell r="C20" t="str">
            <v>Service desk and Network Monitoring</v>
          </cell>
          <cell r="D20" t="str">
            <v>SDNM/3</v>
          </cell>
          <cell r="E20" t="str">
            <v xml:space="preserve">Provision of Service Desk service for Ar equipment in Rustamiyah  </v>
          </cell>
          <cell r="G20">
            <v>7773</v>
          </cell>
          <cell r="H20">
            <v>6218</v>
          </cell>
          <cell r="O20">
            <v>0</v>
          </cell>
          <cell r="P20" t="str">
            <v>X</v>
          </cell>
        </row>
        <row r="21">
          <cell r="B21">
            <v>6</v>
          </cell>
          <cell r="C21" t="str">
            <v>Crypto</v>
          </cell>
          <cell r="D21" t="str">
            <v>CRYP/1</v>
          </cell>
          <cell r="E21" t="str">
            <v xml:space="preserve">Maintenance of Cryptographic accounts </v>
          </cell>
          <cell r="G21">
            <v>13230.776</v>
          </cell>
          <cell r="H21">
            <v>10584.776</v>
          </cell>
          <cell r="O21">
            <v>133</v>
          </cell>
          <cell r="P21" t="str">
            <v>X</v>
          </cell>
        </row>
        <row r="22">
          <cell r="B22">
            <v>7</v>
          </cell>
          <cell r="C22" t="str">
            <v>Telephone Services</v>
          </cell>
          <cell r="D22" t="str">
            <v>TSIZ/1</v>
          </cell>
          <cell r="E22" t="str">
            <v>Maintenance and operation of PBX and associated lines and handsets in IZ and support of all telephone handsets</v>
          </cell>
          <cell r="G22">
            <v>12159.732</v>
          </cell>
          <cell r="H22">
            <v>9727.732</v>
          </cell>
          <cell r="O22">
            <v>53.2</v>
          </cell>
          <cell r="P22" t="str">
            <v>X</v>
          </cell>
        </row>
        <row r="23">
          <cell r="B23">
            <v>8</v>
          </cell>
          <cell r="C23" t="str">
            <v>SATCOM</v>
          </cell>
          <cell r="D23" t="str">
            <v>SATCIZ/1</v>
          </cell>
          <cell r="E23" t="str">
            <v>Support to SATCOM in the IZ</v>
          </cell>
          <cell r="G23">
            <v>6882.518</v>
          </cell>
          <cell r="H23">
            <v>5505.518</v>
          </cell>
          <cell r="O23">
            <v>66.5</v>
          </cell>
          <cell r="P23" t="str">
            <v>X</v>
          </cell>
        </row>
        <row r="24">
          <cell r="B24">
            <v>9</v>
          </cell>
          <cell r="C24" t="str">
            <v>DLOS</v>
          </cell>
          <cell r="D24" t="str">
            <v>DLOSIZ/1</v>
          </cell>
          <cell r="E24" t="str">
            <v>Support to DLOS in the IZ</v>
          </cell>
          <cell r="G24">
            <v>7868.9979999999996</v>
          </cell>
          <cell r="H24">
            <v>6294.9979999999996</v>
          </cell>
          <cell r="O24">
            <v>26.6</v>
          </cell>
          <cell r="P24" t="str">
            <v>X</v>
          </cell>
        </row>
        <row r="25">
          <cell r="B25" t="str">
            <v>10.a</v>
          </cell>
          <cell r="C25" t="str">
            <v>TLK</v>
          </cell>
          <cell r="D25" t="str">
            <v>TLK/1</v>
          </cell>
          <cell r="E25" t="str">
            <v>Support to TLK &gt;=1 and &lt;=2</v>
          </cell>
          <cell r="G25">
            <v>9529.384</v>
          </cell>
          <cell r="H25">
            <v>7623.384</v>
          </cell>
          <cell r="O25">
            <v>93.1</v>
          </cell>
          <cell r="P25" t="str">
            <v>X</v>
          </cell>
        </row>
        <row r="26">
          <cell r="B26" t="str">
            <v>10.b</v>
          </cell>
          <cell r="C26" t="str">
            <v>TLK</v>
          </cell>
          <cell r="D26" t="str">
            <v>TLK/2</v>
          </cell>
          <cell r="E26" t="str">
            <v>Support to TLK &gt;3 and &lt;=5</v>
          </cell>
          <cell r="G26">
            <v>9529.384</v>
          </cell>
          <cell r="H26">
            <v>7623.384</v>
          </cell>
          <cell r="O26">
            <v>93.1</v>
          </cell>
        </row>
        <row r="27">
          <cell r="B27">
            <v>11</v>
          </cell>
          <cell r="C27" t="str">
            <v>Depot Services</v>
          </cell>
          <cell r="D27" t="str">
            <v>SMPA/1</v>
          </cell>
          <cell r="E27" t="str">
            <v xml:space="preserve">Provide Staff to operate the Depot and provide Stock Management and Property Accounting for all equipment in NTM-I </v>
          </cell>
          <cell r="G27">
            <v>7395.1220000000003</v>
          </cell>
          <cell r="H27">
            <v>5916.1220000000003</v>
          </cell>
          <cell r="O27">
            <v>79.8</v>
          </cell>
          <cell r="P27" t="str">
            <v>X</v>
          </cell>
        </row>
        <row r="28">
          <cell r="B28">
            <v>12</v>
          </cell>
          <cell r="C28" t="str">
            <v>Contract Management</v>
          </cell>
          <cell r="D28" t="str">
            <v>CMIZ/1</v>
          </cell>
          <cell r="E28" t="str">
            <v>Management of O&amp;M contract for services provided to IZ</v>
          </cell>
          <cell r="G28">
            <v>23342.773333333334</v>
          </cell>
          <cell r="H28">
            <v>18673.773333333334</v>
          </cell>
          <cell r="O28">
            <v>138.33333333333334</v>
          </cell>
          <cell r="P28" t="str">
            <v>X</v>
          </cell>
        </row>
        <row r="29">
          <cell r="B29">
            <v>13</v>
          </cell>
          <cell r="C29" t="str">
            <v>MONS</v>
          </cell>
          <cell r="D29" t="str">
            <v>MONS/1</v>
          </cell>
          <cell r="E29" t="str">
            <v>Provision of one person to work in NCSA HQ Mons</v>
          </cell>
          <cell r="G29">
            <v>19520.456511278193</v>
          </cell>
          <cell r="H29">
            <v>15616.456511278195</v>
          </cell>
          <cell r="O29">
            <v>160</v>
          </cell>
          <cell r="P29" t="str">
            <v>X</v>
          </cell>
        </row>
        <row r="30">
          <cell r="B30" t="str">
            <v>14.a</v>
          </cell>
          <cell r="C30" t="str">
            <v>NSAR</v>
          </cell>
          <cell r="D30" t="str">
            <v>NSAR/1</v>
          </cell>
          <cell r="E30" t="str">
            <v>NS Server Admin, Network and cable Infrastructure, Desktop Support in the AR &lt;= 10 workstations</v>
          </cell>
          <cell r="G30">
            <v>7773</v>
          </cell>
          <cell r="H30">
            <v>6218</v>
          </cell>
          <cell r="O30">
            <v>0</v>
          </cell>
        </row>
        <row r="31">
          <cell r="B31" t="str">
            <v>14.b</v>
          </cell>
          <cell r="C31" t="str">
            <v>NSAR</v>
          </cell>
          <cell r="D31" t="str">
            <v>NSAR/2</v>
          </cell>
          <cell r="E31" t="str">
            <v>NS Server Admin, Network and cable Infrastructure, Desktop Support in the AR &gt; 10 &lt;= 50 workstations</v>
          </cell>
          <cell r="G31">
            <v>7773</v>
          </cell>
          <cell r="H31">
            <v>6218</v>
          </cell>
          <cell r="O31">
            <v>0</v>
          </cell>
          <cell r="P31" t="str">
            <v>X</v>
          </cell>
        </row>
        <row r="32">
          <cell r="B32" t="str">
            <v>15.a</v>
          </cell>
          <cell r="C32" t="str">
            <v>UNAR</v>
          </cell>
          <cell r="D32" t="str">
            <v>UNAR /1</v>
          </cell>
          <cell r="E32" t="str">
            <v xml:space="preserve">Unclassified Server Admin, Network and cable Infrastructure, Desktop Support in Ar Rustamiyah for &lt;=40 Workstations </v>
          </cell>
          <cell r="G32">
            <v>7773</v>
          </cell>
          <cell r="H32">
            <v>6218</v>
          </cell>
          <cell r="O32">
            <v>0</v>
          </cell>
        </row>
        <row r="33">
          <cell r="B33" t="str">
            <v>15.b</v>
          </cell>
          <cell r="C33" t="str">
            <v>UNAR</v>
          </cell>
          <cell r="D33" t="str">
            <v>UNAR /2</v>
          </cell>
          <cell r="E33" t="str">
            <v>Unclassified Server Admin, Network and cable Infrastructure, Desktop Support in Ar Rustamiyah for &gt;40 and &lt;= 100 Workstations</v>
          </cell>
          <cell r="G33">
            <v>7773</v>
          </cell>
          <cell r="H33">
            <v>6218</v>
          </cell>
          <cell r="O33">
            <v>0</v>
          </cell>
          <cell r="P33" t="str">
            <v>X</v>
          </cell>
        </row>
        <row r="34">
          <cell r="B34" t="str">
            <v>15.c</v>
          </cell>
          <cell r="C34" t="str">
            <v>UNAR</v>
          </cell>
          <cell r="D34" t="str">
            <v>UNAR /2</v>
          </cell>
          <cell r="E34" t="str">
            <v>Unclassified Server Admin, Network and cable Infrastructure, Desktop Support in Ar Rustamiyah for &gt;100 and &lt;= 200 Workstations</v>
          </cell>
          <cell r="G34">
            <v>7773</v>
          </cell>
          <cell r="H34">
            <v>6218</v>
          </cell>
          <cell r="O34">
            <v>0</v>
          </cell>
        </row>
        <row r="35">
          <cell r="B35" t="str">
            <v>16.a</v>
          </cell>
          <cell r="C35" t="str">
            <v xml:space="preserve">Minor Networks and Standalone W/S  </v>
          </cell>
          <cell r="D35" t="str">
            <v>MNSAAR/1</v>
          </cell>
          <cell r="E35" t="str">
            <v>Desktop Support for &gt;0 and &lt;= 20 standalone workstations or Laptops in the Ar Rustamiyah</v>
          </cell>
          <cell r="G35">
            <v>7773</v>
          </cell>
          <cell r="H35">
            <v>6218</v>
          </cell>
          <cell r="O35">
            <v>0</v>
          </cell>
          <cell r="P35" t="str">
            <v>X</v>
          </cell>
        </row>
        <row r="36">
          <cell r="B36" t="str">
            <v>16.b</v>
          </cell>
          <cell r="C36" t="str">
            <v xml:space="preserve">Minor Networks and Standalone W/S  </v>
          </cell>
          <cell r="D36" t="str">
            <v>MNSAAR/2</v>
          </cell>
          <cell r="E36" t="str">
            <v>Administrative Support for &gt;20 and &lt;= 50 standalone Workstations or Laptops as detailed in Statement of Work in Ar Rustamiyah</v>
          </cell>
          <cell r="G36">
            <v>7773</v>
          </cell>
          <cell r="H36">
            <v>6218</v>
          </cell>
        </row>
        <row r="37">
          <cell r="B37">
            <v>17</v>
          </cell>
          <cell r="C37" t="str">
            <v>VTC in AR</v>
          </cell>
          <cell r="D37" t="str">
            <v>VTCAR/1</v>
          </cell>
          <cell r="E37" t="str">
            <v>Provision, maintenance, operation and administration of VTC Services and equipment in the Ar Rustamiyah</v>
          </cell>
          <cell r="G37">
            <v>0</v>
          </cell>
          <cell r="H37">
            <v>0</v>
          </cell>
          <cell r="O37">
            <v>0</v>
          </cell>
          <cell r="P37" t="str">
            <v>X</v>
          </cell>
        </row>
        <row r="38">
          <cell r="B38">
            <v>18</v>
          </cell>
          <cell r="C38" t="str">
            <v>Telephone Services</v>
          </cell>
          <cell r="D38" t="str">
            <v>TSAR/1</v>
          </cell>
          <cell r="E38" t="str">
            <v>Maintenance and operation of PBX and associated lines and handsets in Ar Rustamiyah and support of all telephone handsets</v>
          </cell>
          <cell r="G38">
            <v>0</v>
          </cell>
          <cell r="H38">
            <v>0</v>
          </cell>
          <cell r="O38">
            <v>0</v>
          </cell>
          <cell r="P38" t="str">
            <v>X</v>
          </cell>
        </row>
        <row r="39">
          <cell r="B39">
            <v>19</v>
          </cell>
          <cell r="C39" t="str">
            <v xml:space="preserve">SATCOM </v>
          </cell>
          <cell r="D39" t="str">
            <v>SATCAR/1</v>
          </cell>
          <cell r="E39" t="str">
            <v>Support to SATCOM in the Ar Rustamiyah</v>
          </cell>
          <cell r="G39">
            <v>0</v>
          </cell>
          <cell r="H39">
            <v>0</v>
          </cell>
          <cell r="O39">
            <v>0</v>
          </cell>
          <cell r="P39" t="str">
            <v>X</v>
          </cell>
        </row>
        <row r="40">
          <cell r="B40">
            <v>20</v>
          </cell>
          <cell r="C40" t="str">
            <v>DLOS</v>
          </cell>
          <cell r="D40" t="str">
            <v>DLOSAR/1</v>
          </cell>
          <cell r="E40" t="str">
            <v>Support to DLOS in the Ar Rustamiyah</v>
          </cell>
          <cell r="G40">
            <v>4911</v>
          </cell>
          <cell r="H40">
            <v>3929</v>
          </cell>
          <cell r="O40">
            <v>0</v>
          </cell>
          <cell r="P40" t="str">
            <v>X</v>
          </cell>
        </row>
        <row r="41">
          <cell r="B41">
            <v>21</v>
          </cell>
          <cell r="C41" t="str">
            <v>Contract Management</v>
          </cell>
          <cell r="D41" t="str">
            <v>CMAR/1</v>
          </cell>
          <cell r="E41" t="str">
            <v>Management of O&amp;M contract for services provided to Ar Rustamiyah</v>
          </cell>
          <cell r="G41">
            <v>18129.253333333334</v>
          </cell>
          <cell r="H41">
            <v>14503.253333333334</v>
          </cell>
          <cell r="O41">
            <v>71.833333333333329</v>
          </cell>
          <cell r="P41" t="str">
            <v>X</v>
          </cell>
        </row>
        <row r="42">
          <cell r="B42" t="str">
            <v>22.a</v>
          </cell>
          <cell r="C42" t="str">
            <v>NSCD</v>
          </cell>
          <cell r="D42" t="str">
            <v>NSCD /1</v>
          </cell>
          <cell r="E42" t="str">
            <v>NS Network and cable Infrastructure, Desktop Support in Camp Dublin for all workstations while there is no NS server in Camp Dublin</v>
          </cell>
          <cell r="G42">
            <v>15703.072</v>
          </cell>
          <cell r="H42">
            <v>12562.072</v>
          </cell>
          <cell r="O42">
            <v>146.30000000000001</v>
          </cell>
          <cell r="P42" t="str">
            <v>X</v>
          </cell>
        </row>
        <row r="43">
          <cell r="B43" t="str">
            <v>22.b</v>
          </cell>
          <cell r="C43" t="str">
            <v>NSCD</v>
          </cell>
          <cell r="D43" t="str">
            <v>NSCD /2</v>
          </cell>
          <cell r="E43" t="str">
            <v>NS Server Admin, Network and cable Infrastructure, Desktop Support in Camp Dublin&lt;= 40 workstations (applicable only if an NS server is installed in CD)</v>
          </cell>
          <cell r="G43">
            <v>15703.072</v>
          </cell>
          <cell r="H43">
            <v>12562.072</v>
          </cell>
          <cell r="O43">
            <v>146.30000000000001</v>
          </cell>
        </row>
        <row r="44">
          <cell r="B44" t="str">
            <v>22.c</v>
          </cell>
          <cell r="C44" t="str">
            <v>NSCD</v>
          </cell>
          <cell r="D44" t="str">
            <v>NSCD /3</v>
          </cell>
          <cell r="E44" t="str">
            <v>NS Server Admin, Network and cable Infrastructure, Desktop Support in Camp Dublin &gt; 40 &lt;= 80 workstations</v>
          </cell>
          <cell r="G44">
            <v>15703.072</v>
          </cell>
          <cell r="H44">
            <v>12562.072</v>
          </cell>
          <cell r="O44">
            <v>146.30000000000001</v>
          </cell>
        </row>
        <row r="45">
          <cell r="B45" t="str">
            <v>23.a</v>
          </cell>
          <cell r="C45" t="str">
            <v>UNCD</v>
          </cell>
          <cell r="D45" t="str">
            <v>UNCD /1</v>
          </cell>
          <cell r="E45" t="str">
            <v xml:space="preserve">Unclassified Server Admin, Network and cable Infrastructure, Desktop Support in Camp Dublin for &lt;=40 Workstations </v>
          </cell>
          <cell r="G45">
            <v>20496.97</v>
          </cell>
          <cell r="H45">
            <v>16396.97</v>
          </cell>
          <cell r="O45">
            <v>186.2</v>
          </cell>
          <cell r="P45" t="str">
            <v>X</v>
          </cell>
        </row>
        <row r="46">
          <cell r="B46" t="str">
            <v>23.b</v>
          </cell>
          <cell r="C46" t="str">
            <v>UNCD</v>
          </cell>
          <cell r="D46" t="str">
            <v>UNCD /2</v>
          </cell>
          <cell r="E46" t="str">
            <v>Unclassified Server Admin, Network and cable Infrastructure, Desktop Support in Camp Dublin for &gt;40 and &lt;= 80 Workstations</v>
          </cell>
          <cell r="G46">
            <v>20496.97</v>
          </cell>
          <cell r="H46">
            <v>16396.97</v>
          </cell>
          <cell r="O46">
            <v>186.2</v>
          </cell>
        </row>
        <row r="47">
          <cell r="B47" t="str">
            <v>24.a</v>
          </cell>
          <cell r="C47" t="str">
            <v xml:space="preserve">Minor Networks and Standalone W/S  </v>
          </cell>
          <cell r="D47" t="str">
            <v>MNSACD/1</v>
          </cell>
          <cell r="E47" t="str">
            <v>Desktop Support for &lt;= 20 standalone workstations or Laptops in the Camp Dublin</v>
          </cell>
          <cell r="G47">
            <v>10081.522000000001</v>
          </cell>
          <cell r="H47">
            <v>8065.5219999999999</v>
          </cell>
          <cell r="O47">
            <v>93.1</v>
          </cell>
        </row>
        <row r="48">
          <cell r="B48" t="str">
            <v>24.b</v>
          </cell>
          <cell r="C48" t="str">
            <v xml:space="preserve">Minor Networks and Standalone W/S  </v>
          </cell>
          <cell r="D48" t="str">
            <v>MNSACD/2</v>
          </cell>
          <cell r="E48" t="str">
            <v>Administrative Support for &gt;20 and &lt;= 100 standalone Workstations or Laptops as detailed in Statement of Work in Camp Dublin</v>
          </cell>
          <cell r="G48">
            <v>10081.522000000001</v>
          </cell>
          <cell r="H48">
            <v>8065.5219999999999</v>
          </cell>
          <cell r="O48">
            <v>93.1</v>
          </cell>
        </row>
        <row r="49">
          <cell r="B49">
            <v>25</v>
          </cell>
          <cell r="C49" t="str">
            <v>VTC in CD</v>
          </cell>
          <cell r="D49" t="str">
            <v>PVTCCD/1</v>
          </cell>
          <cell r="E49" t="str">
            <v>Provision, maintenance, operation and administration of VTC Services and equipment in the Camp Dublin</v>
          </cell>
          <cell r="G49">
            <v>5617.442</v>
          </cell>
          <cell r="H49">
            <v>4493.442</v>
          </cell>
          <cell r="O49">
            <v>53.2</v>
          </cell>
        </row>
        <row r="50">
          <cell r="B50">
            <v>26</v>
          </cell>
          <cell r="C50" t="str">
            <v>Telephone Services</v>
          </cell>
          <cell r="D50" t="str">
            <v>PTSCD/1</v>
          </cell>
          <cell r="E50" t="str">
            <v>Maintenance and operation of PBX and associated lines and handsets in Camp Dublin and support of all telephone handsets</v>
          </cell>
          <cell r="G50">
            <v>15703.072</v>
          </cell>
          <cell r="H50">
            <v>12562.072</v>
          </cell>
          <cell r="O50">
            <v>146.30000000000001</v>
          </cell>
          <cell r="P50" t="str">
            <v>X</v>
          </cell>
        </row>
        <row r="51">
          <cell r="B51">
            <v>27</v>
          </cell>
          <cell r="C51" t="str">
            <v xml:space="preserve">SATCOM </v>
          </cell>
          <cell r="D51" t="str">
            <v>SATCCD/1</v>
          </cell>
          <cell r="E51" t="str">
            <v>Support to SATCOM in the Camp Dublin</v>
          </cell>
          <cell r="G51">
            <v>5617.442</v>
          </cell>
          <cell r="H51">
            <v>4493.442</v>
          </cell>
          <cell r="O51">
            <v>53.2</v>
          </cell>
        </row>
        <row r="52">
          <cell r="B52">
            <v>28</v>
          </cell>
          <cell r="C52" t="str">
            <v>DLOS</v>
          </cell>
          <cell r="D52" t="str">
            <v>DLOSCD/1</v>
          </cell>
          <cell r="E52" t="str">
            <v>Support to DLOS in the Camp Dublin</v>
          </cell>
          <cell r="G52">
            <v>10528.441999999999</v>
          </cell>
          <cell r="H52">
            <v>8422.4419999999991</v>
          </cell>
          <cell r="O52">
            <v>53.2</v>
          </cell>
          <cell r="P52" t="str">
            <v>X</v>
          </cell>
        </row>
        <row r="53">
          <cell r="B53">
            <v>29</v>
          </cell>
          <cell r="C53" t="str">
            <v>Contract Management</v>
          </cell>
          <cell r="D53" t="str">
            <v>CMCD/1</v>
          </cell>
          <cell r="E53" t="str">
            <v>Management of O&amp;M contract for services provided to Camp Dublin</v>
          </cell>
          <cell r="G53">
            <v>18129.253333333334</v>
          </cell>
          <cell r="H53">
            <v>14503.253333333334</v>
          </cell>
          <cell r="O53">
            <v>71.833333333333329</v>
          </cell>
          <cell r="P53" t="str">
            <v>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"/>
  <sheetViews>
    <sheetView topLeftCell="A8" workbookViewId="0">
      <selection activeCell="H18" sqref="H18"/>
    </sheetView>
  </sheetViews>
  <sheetFormatPr defaultRowHeight="15"/>
  <cols>
    <col min="1" max="1" width="1.5703125" customWidth="1"/>
    <col min="2" max="2" width="11.85546875" customWidth="1"/>
    <col min="3" max="3" width="15.140625" customWidth="1"/>
    <col min="4" max="4" width="2" customWidth="1"/>
    <col min="5" max="5" width="15.28515625" customWidth="1"/>
    <col min="6" max="6" width="14.7109375" customWidth="1"/>
    <col min="7" max="7" width="15" bestFit="1" customWidth="1"/>
    <col min="8" max="8" width="12" bestFit="1" customWidth="1"/>
    <col min="9" max="9" width="1.85546875" customWidth="1"/>
    <col min="10" max="10" width="14.28515625" bestFit="1" customWidth="1"/>
    <col min="11" max="12" width="15.28515625" bestFit="1" customWidth="1"/>
    <col min="13" max="13" width="15" bestFit="1" customWidth="1"/>
  </cols>
  <sheetData>
    <row r="1" spans="1:12">
      <c r="B1" s="19" t="str">
        <f>+[1]InputSheet!C1</f>
        <v>RFP:</v>
      </c>
      <c r="C1" s="19" t="str">
        <f>+[1]InputSheet!D1</f>
        <v>JLA10030/LR-RBG-6000447673</v>
      </c>
    </row>
    <row r="2" spans="1:12">
      <c r="B2" s="19" t="str">
        <f>+[1]InputSheet!C2</f>
        <v>Title:</v>
      </c>
      <c r="C2" s="19" t="str">
        <f>+[1]InputSheet!D2</f>
        <v>NATO ITM-I</v>
      </c>
    </row>
    <row r="3" spans="1:12">
      <c r="B3" s="19" t="str">
        <f>+[1]InputSheet!C3</f>
        <v>Offeror:</v>
      </c>
      <c r="C3" s="19" t="str">
        <f>+[1]InputSheet!D3</f>
        <v>ManTech Telecommunications and Information Systems Corporation</v>
      </c>
    </row>
    <row r="4" spans="1:12">
      <c r="B4" s="19" t="str">
        <f>+[1]InputSheet!C4</f>
        <v>PL:</v>
      </c>
      <c r="C4" s="19" t="str">
        <f>+[1]InputSheet!D4</f>
        <v>P-13526</v>
      </c>
    </row>
    <row r="5" spans="1:12">
      <c r="B5" s="19" t="str">
        <f>+[1]InputSheet!C5</f>
        <v>Report:</v>
      </c>
      <c r="C5" s="19" t="s">
        <v>33</v>
      </c>
    </row>
    <row r="6" spans="1:12">
      <c r="K6" s="34"/>
      <c r="L6" s="34"/>
    </row>
    <row r="7" spans="1:12" ht="42.75" customHeight="1">
      <c r="B7" s="33" t="s">
        <v>0</v>
      </c>
      <c r="C7" s="94" t="s">
        <v>3</v>
      </c>
      <c r="D7" s="94"/>
      <c r="E7" s="94"/>
      <c r="F7" s="94"/>
      <c r="G7" s="94"/>
      <c r="H7" s="94"/>
      <c r="I7" s="94"/>
      <c r="J7" s="94"/>
      <c r="K7" s="94"/>
      <c r="L7" s="35"/>
    </row>
    <row r="8" spans="1:12">
      <c r="K8" s="34"/>
      <c r="L8" s="34"/>
    </row>
    <row r="9" spans="1:12">
      <c r="B9" s="19" t="s">
        <v>1</v>
      </c>
      <c r="K9" s="34"/>
      <c r="L9" s="34"/>
    </row>
    <row r="10" spans="1:12">
      <c r="B10" s="19" t="s">
        <v>18</v>
      </c>
      <c r="C10" s="19" t="s">
        <v>19</v>
      </c>
    </row>
    <row r="11" spans="1:12" ht="15.75" thickBot="1"/>
    <row r="12" spans="1:12">
      <c r="A12" s="72"/>
      <c r="B12" s="73" t="s">
        <v>101</v>
      </c>
      <c r="C12" s="74"/>
      <c r="D12" s="74"/>
      <c r="E12" s="74"/>
      <c r="F12" s="74"/>
      <c r="G12" s="74"/>
      <c r="H12" s="74"/>
      <c r="I12" s="75"/>
    </row>
    <row r="13" spans="1:12">
      <c r="A13" s="76"/>
      <c r="B13" s="34"/>
      <c r="C13" s="34"/>
      <c r="D13" s="34"/>
      <c r="E13" s="4" t="s">
        <v>16</v>
      </c>
      <c r="F13" s="34"/>
      <c r="G13" s="34"/>
      <c r="H13" s="34"/>
      <c r="I13" s="77"/>
    </row>
    <row r="14" spans="1:12">
      <c r="A14" s="76"/>
      <c r="B14" s="90" t="s">
        <v>25</v>
      </c>
      <c r="C14" s="91"/>
      <c r="D14" s="34"/>
      <c r="E14" s="48" t="s">
        <v>20</v>
      </c>
      <c r="F14" s="4" t="s">
        <v>26</v>
      </c>
      <c r="G14" s="49" t="s">
        <v>27</v>
      </c>
      <c r="H14" s="4" t="s">
        <v>28</v>
      </c>
      <c r="I14" s="77"/>
    </row>
    <row r="15" spans="1:12">
      <c r="A15" s="76"/>
      <c r="B15" s="21"/>
      <c r="C15" s="22" t="s">
        <v>21</v>
      </c>
      <c r="D15" s="34"/>
      <c r="E15" s="23">
        <f>+'[1]SOW Work Pkgs (Price&amp;Cost)'!$D$3</f>
        <v>3403325.2621353385</v>
      </c>
      <c r="F15" s="23">
        <v>3309539</v>
      </c>
      <c r="G15" s="23">
        <f>+E15-F15</f>
        <v>93786.262135338504</v>
      </c>
      <c r="H15" s="27">
        <f t="shared" ref="H15:H18" si="0">+G15/F15</f>
        <v>2.8338164963560938E-2</v>
      </c>
      <c r="I15" s="77"/>
    </row>
    <row r="16" spans="1:12">
      <c r="A16" s="76"/>
      <c r="B16" s="21"/>
      <c r="C16" s="22" t="s">
        <v>24</v>
      </c>
      <c r="D16" s="34"/>
      <c r="E16" s="23">
        <f ca="1">+'Pricing Summary'!M55</f>
        <v>4254245.262135338</v>
      </c>
      <c r="F16" s="23">
        <v>5103847.0999999996</v>
      </c>
      <c r="G16" s="23">
        <f ca="1">+E16-F16</f>
        <v>-849601.83786466159</v>
      </c>
      <c r="H16" s="27">
        <f t="shared" ca="1" si="0"/>
        <v>-0.16646302704966645</v>
      </c>
      <c r="I16" s="77"/>
      <c r="K16">
        <v>4581702</v>
      </c>
      <c r="L16" s="86">
        <f ca="1">E16-K16</f>
        <v>-327456.73786466196</v>
      </c>
    </row>
    <row r="17" spans="1:9">
      <c r="A17" s="76"/>
      <c r="B17" s="24"/>
      <c r="C17" s="25" t="s">
        <v>22</v>
      </c>
      <c r="D17" s="34"/>
      <c r="E17" s="5">
        <f ca="1">+E16-E15</f>
        <v>850919.99999999953</v>
      </c>
      <c r="F17" s="5">
        <f>+F16-F15</f>
        <v>1794308.0999999996</v>
      </c>
      <c r="G17" s="64">
        <f ca="1">+E17-F17</f>
        <v>-943388.10000000009</v>
      </c>
      <c r="H17" s="6">
        <f t="shared" ca="1" si="0"/>
        <v>-0.52576706308130705</v>
      </c>
      <c r="I17" s="77"/>
    </row>
    <row r="18" spans="1:9">
      <c r="A18" s="76"/>
      <c r="B18" s="20"/>
      <c r="C18" s="22" t="s">
        <v>23</v>
      </c>
      <c r="D18" s="34"/>
      <c r="E18" s="27">
        <f ca="1">+E17/E15</f>
        <v>0.25002605818114171</v>
      </c>
      <c r="F18" s="27">
        <f>+F17/F15</f>
        <v>0.54216254892297677</v>
      </c>
      <c r="G18" s="46">
        <f ca="1">+E18-F18</f>
        <v>-0.29213649074183506</v>
      </c>
      <c r="H18" s="46">
        <f t="shared" ca="1" si="0"/>
        <v>-0.53883561548501191</v>
      </c>
      <c r="I18" s="77"/>
    </row>
    <row r="19" spans="1:9">
      <c r="A19" s="76"/>
      <c r="B19" s="34"/>
      <c r="C19" s="34"/>
      <c r="D19" s="34"/>
      <c r="E19" s="34"/>
      <c r="F19" s="34"/>
      <c r="G19" s="34"/>
      <c r="H19" s="34"/>
      <c r="I19" s="77"/>
    </row>
    <row r="20" spans="1:9">
      <c r="A20" s="76"/>
      <c r="B20" s="34"/>
      <c r="C20" s="34"/>
      <c r="D20" s="34"/>
      <c r="E20" s="43" t="s">
        <v>75</v>
      </c>
      <c r="F20" s="44">
        <v>1.7000000000000001E-2</v>
      </c>
      <c r="G20" s="49" t="s">
        <v>70</v>
      </c>
      <c r="H20" s="4">
        <v>13</v>
      </c>
      <c r="I20" s="77"/>
    </row>
    <row r="21" spans="1:9">
      <c r="A21" s="76"/>
      <c r="B21" s="34"/>
      <c r="C21" s="34"/>
      <c r="D21" s="34"/>
      <c r="E21" s="65"/>
      <c r="F21" s="66"/>
      <c r="G21" s="67"/>
      <c r="H21" s="67"/>
      <c r="I21" s="77"/>
    </row>
    <row r="22" spans="1:9">
      <c r="A22" s="76"/>
      <c r="B22" s="34"/>
      <c r="C22" s="70" t="s">
        <v>90</v>
      </c>
      <c r="D22" s="34"/>
      <c r="E22" s="70" t="s">
        <v>106</v>
      </c>
      <c r="F22" s="70" t="s">
        <v>27</v>
      </c>
      <c r="G22" s="70" t="s">
        <v>28</v>
      </c>
      <c r="H22" s="67"/>
      <c r="I22" s="77"/>
    </row>
    <row r="23" spans="1:9">
      <c r="A23" s="76"/>
      <c r="B23" s="41" t="s">
        <v>72</v>
      </c>
      <c r="C23" s="5">
        <f ca="1">+E16</f>
        <v>4254245.262135338</v>
      </c>
      <c r="D23" s="34"/>
      <c r="E23" s="7">
        <v>6924509</v>
      </c>
      <c r="F23" s="68">
        <f ca="1">C23-E23</f>
        <v>-2670263.737864662</v>
      </c>
      <c r="G23" s="69">
        <f ca="1">F23/E23</f>
        <v>-0.38562499346374768</v>
      </c>
      <c r="H23" s="67"/>
      <c r="I23" s="77"/>
    </row>
    <row r="24" spans="1:9">
      <c r="A24" s="76"/>
      <c r="B24" s="41" t="s">
        <v>73</v>
      </c>
      <c r="C24" s="5">
        <f ca="1">+C23*(1+$F$20)</f>
        <v>4326567.4315916384</v>
      </c>
      <c r="D24" s="34"/>
      <c r="E24" s="5">
        <f>E23*1.026</f>
        <v>7104546.2340000002</v>
      </c>
      <c r="F24" s="68">
        <f ca="1">C24-E24</f>
        <v>-2777978.8024083618</v>
      </c>
      <c r="G24" s="69">
        <f t="shared" ref="G24:G26" ca="1" si="1">F24/E24</f>
        <v>-0.3910142479070482</v>
      </c>
      <c r="H24" s="67"/>
      <c r="I24" s="77"/>
    </row>
    <row r="25" spans="1:9">
      <c r="A25" s="76"/>
      <c r="B25" s="41" t="s">
        <v>74</v>
      </c>
      <c r="C25" s="5">
        <f ca="1">+C24*(1+$F$20)</f>
        <v>4400119.0779286958</v>
      </c>
      <c r="D25" s="34"/>
      <c r="E25" s="5">
        <f>E24*1.026</f>
        <v>7289264.4360840004</v>
      </c>
      <c r="F25" s="68">
        <f ca="1">C25-E25</f>
        <v>-2889145.3581553046</v>
      </c>
      <c r="G25" s="69">
        <f t="shared" ca="1" si="1"/>
        <v>-0.39635622818856542</v>
      </c>
      <c r="H25" s="67"/>
      <c r="I25" s="77"/>
    </row>
    <row r="26" spans="1:9">
      <c r="A26" s="76"/>
      <c r="B26" s="42" t="s">
        <v>17</v>
      </c>
      <c r="C26" s="45">
        <f ca="1">SUM(C23:C25)</f>
        <v>12980931.771655671</v>
      </c>
      <c r="D26" s="34"/>
      <c r="E26" s="45">
        <f>SUM(E23:E25)</f>
        <v>21318319.670084</v>
      </c>
      <c r="F26" s="45">
        <f ca="1">C26-E26</f>
        <v>-8337387.8984283283</v>
      </c>
      <c r="G26" s="71">
        <f t="shared" ca="1" si="1"/>
        <v>-0.39109029358107361</v>
      </c>
      <c r="H26" s="67"/>
      <c r="I26" s="77"/>
    </row>
    <row r="27" spans="1:9" ht="15.75" thickBot="1">
      <c r="A27" s="78"/>
      <c r="B27" s="79"/>
      <c r="C27" s="79"/>
      <c r="D27" s="79"/>
      <c r="E27" s="80"/>
      <c r="F27" s="81"/>
      <c r="G27" s="82"/>
      <c r="H27" s="82"/>
      <c r="I27" s="83"/>
    </row>
    <row r="28" spans="1:9" ht="15.75" thickBot="1"/>
    <row r="29" spans="1:9">
      <c r="A29" s="72"/>
      <c r="B29" s="73" t="s">
        <v>102</v>
      </c>
      <c r="C29" s="74"/>
      <c r="D29" s="74"/>
      <c r="E29" s="74"/>
      <c r="F29" s="74"/>
      <c r="G29" s="74"/>
      <c r="H29" s="74"/>
      <c r="I29" s="75"/>
    </row>
    <row r="30" spans="1:9">
      <c r="A30" s="76"/>
      <c r="B30" s="34"/>
      <c r="C30" s="34"/>
      <c r="D30" s="34"/>
      <c r="E30" s="4" t="s">
        <v>100</v>
      </c>
      <c r="F30" s="34"/>
      <c r="G30" s="34"/>
      <c r="H30" s="34"/>
      <c r="I30" s="77"/>
    </row>
    <row r="31" spans="1:9">
      <c r="A31" s="76"/>
      <c r="B31" s="90" t="s">
        <v>25</v>
      </c>
      <c r="C31" s="91"/>
      <c r="D31" s="34"/>
      <c r="E31" s="48" t="s">
        <v>20</v>
      </c>
      <c r="F31" s="4" t="s">
        <v>26</v>
      </c>
      <c r="G31" s="49" t="s">
        <v>27</v>
      </c>
      <c r="H31" s="4" t="s">
        <v>28</v>
      </c>
      <c r="I31" s="77"/>
    </row>
    <row r="32" spans="1:9">
      <c r="A32" s="76"/>
      <c r="B32" s="21"/>
      <c r="C32" s="22" t="s">
        <v>21</v>
      </c>
      <c r="D32" s="34"/>
      <c r="E32" s="23">
        <v>3187398.8285353389</v>
      </c>
      <c r="F32" s="23">
        <f>F15</f>
        <v>3309539</v>
      </c>
      <c r="G32" s="23">
        <f>+E32-F32</f>
        <v>-122140.17146466114</v>
      </c>
      <c r="H32" s="27">
        <f t="shared" ref="H32:H35" si="2">+G32/F32</f>
        <v>-3.6905493926695267E-2</v>
      </c>
      <c r="I32" s="77"/>
    </row>
    <row r="33" spans="1:10">
      <c r="A33" s="76"/>
      <c r="B33" s="21"/>
      <c r="C33" s="22" t="s">
        <v>24</v>
      </c>
      <c r="D33" s="34"/>
      <c r="E33" s="23">
        <v>3984222.8285353389</v>
      </c>
      <c r="F33" s="23">
        <v>5103847.0999999996</v>
      </c>
      <c r="G33" s="23">
        <f>+E33-F33</f>
        <v>-1119624.2714646608</v>
      </c>
      <c r="H33" s="27">
        <f t="shared" si="2"/>
        <v>-0.21936869375743268</v>
      </c>
      <c r="I33" s="77"/>
    </row>
    <row r="34" spans="1:10">
      <c r="A34" s="76"/>
      <c r="B34" s="24"/>
      <c r="C34" s="25" t="s">
        <v>22</v>
      </c>
      <c r="D34" s="34"/>
      <c r="E34" s="5">
        <f>+E33-E32</f>
        <v>796824</v>
      </c>
      <c r="F34" s="5">
        <f>+F33-F32</f>
        <v>1794308.0999999996</v>
      </c>
      <c r="G34" s="64">
        <f>+E34-F34</f>
        <v>-997484.09999999963</v>
      </c>
      <c r="H34" s="6">
        <f t="shared" si="2"/>
        <v>-0.55591573152905005</v>
      </c>
      <c r="I34" s="77"/>
    </row>
    <row r="35" spans="1:10">
      <c r="A35" s="76"/>
      <c r="B35" s="20"/>
      <c r="C35" s="22" t="s">
        <v>23</v>
      </c>
      <c r="D35" s="34"/>
      <c r="E35" s="27">
        <f>+E34/E32</f>
        <v>0.24999193476084494</v>
      </c>
      <c r="F35" s="27">
        <f>+F34/F32</f>
        <v>0.54216254892297677</v>
      </c>
      <c r="G35" s="46">
        <f>+E35-F35</f>
        <v>-0.29217061416213186</v>
      </c>
      <c r="H35" s="46">
        <f t="shared" si="2"/>
        <v>-0.53889855494913497</v>
      </c>
      <c r="I35" s="77"/>
    </row>
    <row r="36" spans="1:10">
      <c r="A36" s="76"/>
      <c r="B36" s="34"/>
      <c r="C36" s="34"/>
      <c r="D36" s="34"/>
      <c r="E36" s="34"/>
      <c r="F36" s="34"/>
      <c r="G36" s="34"/>
      <c r="H36" s="34"/>
      <c r="I36" s="77"/>
    </row>
    <row r="37" spans="1:10">
      <c r="A37" s="76"/>
      <c r="B37" s="34"/>
      <c r="C37" s="34"/>
      <c r="D37" s="34"/>
      <c r="E37" s="43" t="s">
        <v>75</v>
      </c>
      <c r="F37" s="44">
        <v>1.7000000000000001E-2</v>
      </c>
      <c r="G37" s="49" t="s">
        <v>70</v>
      </c>
      <c r="H37" s="4">
        <v>11</v>
      </c>
      <c r="I37" s="77"/>
    </row>
    <row r="38" spans="1:10">
      <c r="A38" s="76"/>
      <c r="B38" s="34"/>
      <c r="C38" s="34"/>
      <c r="D38" s="34"/>
      <c r="E38" s="34"/>
      <c r="F38" s="34"/>
      <c r="G38" s="34"/>
      <c r="H38" s="34"/>
      <c r="I38" s="77"/>
    </row>
    <row r="39" spans="1:10">
      <c r="A39" s="76"/>
      <c r="B39" s="34"/>
      <c r="C39" s="34"/>
      <c r="D39" s="34"/>
      <c r="E39" s="70" t="s">
        <v>106</v>
      </c>
      <c r="F39" s="70" t="s">
        <v>27</v>
      </c>
      <c r="G39" s="70" t="s">
        <v>28</v>
      </c>
      <c r="H39" s="34"/>
      <c r="I39" s="77"/>
    </row>
    <row r="40" spans="1:10">
      <c r="A40" s="76"/>
      <c r="B40" s="41" t="s">
        <v>72</v>
      </c>
      <c r="C40" s="5">
        <f>+E33</f>
        <v>3984222.8285353389</v>
      </c>
      <c r="D40" s="34"/>
      <c r="E40" s="7">
        <v>6924509</v>
      </c>
      <c r="F40" s="68">
        <f>C40-E40</f>
        <v>-2940286.1714646611</v>
      </c>
      <c r="G40" s="69">
        <f>F40/E40</f>
        <v>-0.4246201675042463</v>
      </c>
      <c r="H40" s="34"/>
      <c r="I40" s="77"/>
    </row>
    <row r="41" spans="1:10">
      <c r="A41" s="76"/>
      <c r="B41" s="41" t="s">
        <v>73</v>
      </c>
      <c r="C41" s="5">
        <f>+C40*(1+$F$20)</f>
        <v>4051954.6166204391</v>
      </c>
      <c r="D41" s="34"/>
      <c r="E41" s="5">
        <f>E40*1.026</f>
        <v>7104546.2340000002</v>
      </c>
      <c r="F41" s="68">
        <f>C41-E41</f>
        <v>-3052591.6173795611</v>
      </c>
      <c r="G41" s="69">
        <f t="shared" ref="G41:G43" si="3">F41/E41</f>
        <v>-0.42966735901736702</v>
      </c>
      <c r="H41" s="34"/>
      <c r="I41" s="77"/>
    </row>
    <row r="42" spans="1:10">
      <c r="A42" s="76"/>
      <c r="B42" s="41" t="s">
        <v>74</v>
      </c>
      <c r="C42" s="5">
        <f>+C41*(1+$F$20)</f>
        <v>4120837.8451029863</v>
      </c>
      <c r="D42" s="34"/>
      <c r="E42" s="5">
        <f>E41*1.026</f>
        <v>7289264.4360840004</v>
      </c>
      <c r="F42" s="68">
        <f>C42-E42</f>
        <v>-3168426.5909810141</v>
      </c>
      <c r="G42" s="69">
        <f t="shared" si="3"/>
        <v>-0.43467027692072352</v>
      </c>
      <c r="H42" s="34"/>
      <c r="I42" s="77"/>
    </row>
    <row r="43" spans="1:10">
      <c r="A43" s="76"/>
      <c r="B43" s="42" t="s">
        <v>17</v>
      </c>
      <c r="C43" s="45">
        <f>SUM(C40:C42)</f>
        <v>12157015.290258765</v>
      </c>
      <c r="D43" s="34"/>
      <c r="E43" s="45">
        <f>SUM(E40:E42)</f>
        <v>21318319.670084</v>
      </c>
      <c r="F43" s="45">
        <f>C43-E43</f>
        <v>-9161304.3798252344</v>
      </c>
      <c r="G43" s="71">
        <f t="shared" si="3"/>
        <v>-0.42973857797438386</v>
      </c>
      <c r="H43" s="34"/>
      <c r="I43" s="77"/>
    </row>
    <row r="44" spans="1:10" ht="15.75" thickBot="1">
      <c r="A44" s="78"/>
      <c r="B44" s="79"/>
      <c r="C44" s="79"/>
      <c r="D44" s="79"/>
      <c r="E44" s="79"/>
      <c r="F44" s="79"/>
      <c r="G44" s="79"/>
      <c r="H44" s="79"/>
      <c r="I44" s="83"/>
    </row>
    <row r="45" spans="1:10">
      <c r="B45" s="29" t="s">
        <v>29</v>
      </c>
    </row>
    <row r="46" spans="1:10">
      <c r="B46" s="28" t="s">
        <v>76</v>
      </c>
    </row>
    <row r="47" spans="1:10">
      <c r="B47" s="93" t="s">
        <v>30</v>
      </c>
      <c r="C47" s="93"/>
      <c r="D47" s="93"/>
      <c r="E47" s="93"/>
      <c r="F47" s="93"/>
      <c r="G47" s="93"/>
      <c r="H47" s="93"/>
      <c r="I47" s="93"/>
      <c r="J47" s="93"/>
    </row>
    <row r="49" spans="2:10">
      <c r="B49" s="29" t="s">
        <v>31</v>
      </c>
    </row>
    <row r="51" spans="2:10">
      <c r="B51" s="3" t="s">
        <v>32</v>
      </c>
      <c r="C51" s="3" t="s">
        <v>63</v>
      </c>
      <c r="E51" s="3" t="s">
        <v>40</v>
      </c>
      <c r="F51" s="92" t="s">
        <v>63</v>
      </c>
      <c r="G51" s="92"/>
      <c r="H51" s="92"/>
      <c r="I51" s="92"/>
      <c r="J51" s="92"/>
    </row>
    <row r="52" spans="2:10" ht="30">
      <c r="B52" s="31" t="s">
        <v>34</v>
      </c>
      <c r="C52" s="9" t="s">
        <v>41</v>
      </c>
      <c r="E52" s="31" t="s">
        <v>43</v>
      </c>
      <c r="F52" s="95">
        <v>3.5999999999999997E-2</v>
      </c>
      <c r="G52" s="96"/>
      <c r="H52" s="96"/>
      <c r="I52" s="96"/>
      <c r="J52" s="97"/>
    </row>
    <row r="53" spans="2:10">
      <c r="B53" s="1" t="s">
        <v>35</v>
      </c>
      <c r="C53" s="30">
        <v>0.35</v>
      </c>
      <c r="E53" s="1" t="s">
        <v>44</v>
      </c>
      <c r="F53" s="87" t="s">
        <v>71</v>
      </c>
      <c r="G53" s="88"/>
      <c r="H53" s="88"/>
      <c r="I53" s="88"/>
      <c r="J53" s="89"/>
    </row>
    <row r="54" spans="2:10">
      <c r="B54" s="1" t="s">
        <v>36</v>
      </c>
      <c r="C54" s="30">
        <v>0.35</v>
      </c>
      <c r="E54" s="1" t="s">
        <v>37</v>
      </c>
      <c r="F54" s="87" t="s">
        <v>42</v>
      </c>
      <c r="G54" s="88"/>
      <c r="H54" s="88"/>
      <c r="I54" s="88"/>
      <c r="J54" s="89"/>
    </row>
    <row r="55" spans="2:10">
      <c r="B55" s="2" t="s">
        <v>52</v>
      </c>
      <c r="C55" s="2" t="s">
        <v>53</v>
      </c>
      <c r="E55" s="1" t="s">
        <v>38</v>
      </c>
      <c r="F55" s="87" t="s">
        <v>39</v>
      </c>
      <c r="G55" s="88"/>
      <c r="H55" s="88"/>
      <c r="I55" s="88"/>
      <c r="J55" s="89"/>
    </row>
    <row r="56" spans="2:10">
      <c r="E56" s="32" t="s">
        <v>45</v>
      </c>
      <c r="F56" s="87" t="s">
        <v>54</v>
      </c>
      <c r="G56" s="88"/>
      <c r="H56" s="88"/>
      <c r="I56" s="88"/>
      <c r="J56" s="89"/>
    </row>
    <row r="57" spans="2:10">
      <c r="B57" s="3" t="s">
        <v>12</v>
      </c>
      <c r="C57" s="26"/>
      <c r="E57" s="32" t="s">
        <v>46</v>
      </c>
      <c r="F57" s="87" t="s">
        <v>55</v>
      </c>
      <c r="G57" s="88"/>
      <c r="H57" s="88"/>
      <c r="I57" s="88"/>
      <c r="J57" s="89"/>
    </row>
    <row r="58" spans="2:10">
      <c r="B58" s="1" t="s">
        <v>59</v>
      </c>
      <c r="C58" s="1">
        <v>9.5</v>
      </c>
      <c r="E58" s="32" t="s">
        <v>69</v>
      </c>
      <c r="F58" s="87" t="s">
        <v>77</v>
      </c>
      <c r="G58" s="88"/>
      <c r="H58" s="88"/>
      <c r="I58" s="88"/>
      <c r="J58" s="89"/>
    </row>
    <row r="59" spans="2:10">
      <c r="B59" s="1" t="s">
        <v>60</v>
      </c>
      <c r="C59" s="1">
        <v>7</v>
      </c>
      <c r="E59" s="32" t="s">
        <v>47</v>
      </c>
      <c r="F59" s="87" t="s">
        <v>78</v>
      </c>
      <c r="G59" s="88"/>
      <c r="H59" s="88"/>
      <c r="I59" s="88"/>
      <c r="J59" s="89"/>
    </row>
    <row r="60" spans="2:10">
      <c r="B60" s="1" t="s">
        <v>61</v>
      </c>
      <c r="C60" s="1">
        <f>+C58*C59</f>
        <v>66.5</v>
      </c>
      <c r="E60" s="32" t="s">
        <v>48</v>
      </c>
      <c r="F60" s="47" t="s">
        <v>79</v>
      </c>
      <c r="G60" s="37"/>
      <c r="H60" s="37"/>
      <c r="I60" s="37"/>
      <c r="J60" s="38"/>
    </row>
    <row r="61" spans="2:10">
      <c r="B61" s="1" t="s">
        <v>62</v>
      </c>
      <c r="C61" s="1">
        <v>48</v>
      </c>
      <c r="E61" s="32" t="s">
        <v>49</v>
      </c>
      <c r="F61" s="36" t="s">
        <v>56</v>
      </c>
      <c r="G61" s="37"/>
      <c r="H61" s="37"/>
      <c r="I61" s="37"/>
      <c r="J61" s="38"/>
    </row>
    <row r="62" spans="2:10">
      <c r="B62" s="1" t="s">
        <v>14</v>
      </c>
      <c r="C62" s="1">
        <f>+C60*C61</f>
        <v>3192</v>
      </c>
      <c r="E62" s="32" t="s">
        <v>50</v>
      </c>
      <c r="F62" s="36" t="s">
        <v>57</v>
      </c>
      <c r="G62" s="37"/>
      <c r="H62" s="37"/>
      <c r="I62" s="37"/>
      <c r="J62" s="38"/>
    </row>
    <row r="63" spans="2:10">
      <c r="B63" s="1" t="s">
        <v>13</v>
      </c>
      <c r="C63" s="1">
        <f>+C62/12</f>
        <v>266</v>
      </c>
      <c r="E63" s="32" t="s">
        <v>51</v>
      </c>
      <c r="F63" s="36" t="s">
        <v>58</v>
      </c>
      <c r="G63" s="37"/>
      <c r="H63" s="37"/>
      <c r="I63" s="37"/>
      <c r="J63" s="38"/>
    </row>
    <row r="64" spans="2:10">
      <c r="B64" s="41" t="s">
        <v>108</v>
      </c>
      <c r="C64" s="41"/>
    </row>
    <row r="66" spans="2:3">
      <c r="B66" s="29" t="s">
        <v>65</v>
      </c>
    </row>
    <row r="68" spans="2:3">
      <c r="B68" s="28" t="s">
        <v>66</v>
      </c>
      <c r="C68" s="28"/>
    </row>
    <row r="69" spans="2:3">
      <c r="B69" s="28" t="s">
        <v>67</v>
      </c>
      <c r="C69" s="28"/>
    </row>
  </sheetData>
  <mergeCells count="13">
    <mergeCell ref="C7:K7"/>
    <mergeCell ref="B14:C14"/>
    <mergeCell ref="F52:J52"/>
    <mergeCell ref="F53:J53"/>
    <mergeCell ref="F54:J54"/>
    <mergeCell ref="F55:J55"/>
    <mergeCell ref="B31:C31"/>
    <mergeCell ref="F58:J58"/>
    <mergeCell ref="F59:J59"/>
    <mergeCell ref="F56:J56"/>
    <mergeCell ref="F51:J51"/>
    <mergeCell ref="B47:J47"/>
    <mergeCell ref="F57:J57"/>
  </mergeCells>
  <phoneticPr fontId="6" type="noConversion"/>
  <pageMargins left="0.7" right="0.7" top="0.75" bottom="0.75" header="0.3" footer="0.3"/>
  <pageSetup scale="65" orientation="portrait" r:id="rId1"/>
  <headerFooter>
    <oddFooter>&amp;CMANTECH PROPRIETARY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8"/>
  <sheetViews>
    <sheetView tabSelected="1" topLeftCell="A40" workbookViewId="0">
      <selection activeCell="L48" sqref="L48"/>
    </sheetView>
  </sheetViews>
  <sheetFormatPr defaultRowHeight="15"/>
  <cols>
    <col min="1" max="1" width="3.140625" customWidth="1"/>
    <col min="3" max="3" width="24.28515625" customWidth="1"/>
    <col min="4" max="4" width="13" customWidth="1"/>
    <col min="5" max="5" width="62.28515625" customWidth="1"/>
    <col min="6" max="6" width="11.7109375" customWidth="1"/>
    <col min="7" max="8" width="12" bestFit="1" customWidth="1"/>
    <col min="9" max="9" width="11" bestFit="1" customWidth="1"/>
    <col min="10" max="10" width="7.7109375" bestFit="1" customWidth="1"/>
    <col min="11" max="11" width="7.7109375" customWidth="1"/>
    <col min="13" max="13" width="13.7109375" bestFit="1" customWidth="1"/>
  </cols>
  <sheetData>
    <row r="1" spans="2:13">
      <c r="B1" s="19" t="str">
        <f>+Summary!B1</f>
        <v>RFP:</v>
      </c>
      <c r="C1" s="19" t="str">
        <f>+Summary!C1</f>
        <v>JLA10030/LR-RBG-6000447673</v>
      </c>
    </row>
    <row r="2" spans="2:13">
      <c r="B2" s="19" t="str">
        <f>+Summary!B2</f>
        <v>Title:</v>
      </c>
      <c r="C2" s="19" t="str">
        <f>+Summary!C2</f>
        <v>NATO ITM-I</v>
      </c>
    </row>
    <row r="3" spans="2:13">
      <c r="B3" s="19" t="str">
        <f>+Summary!B3</f>
        <v>Offeror:</v>
      </c>
      <c r="C3" s="19" t="str">
        <f>+Summary!C3</f>
        <v>ManTech Telecommunications and Information Systems Corporation</v>
      </c>
    </row>
    <row r="4" spans="2:13">
      <c r="B4" s="19" t="str">
        <f>+Summary!B4</f>
        <v>PL:</v>
      </c>
      <c r="C4" s="19" t="str">
        <f>+Summary!C4</f>
        <v>P-13526</v>
      </c>
    </row>
    <row r="5" spans="2:13">
      <c r="B5" s="19" t="str">
        <f>+Summary!B5</f>
        <v>Report:</v>
      </c>
      <c r="C5" s="19" t="s">
        <v>64</v>
      </c>
    </row>
    <row r="7" spans="2:13">
      <c r="B7" s="19" t="s">
        <v>2</v>
      </c>
    </row>
    <row r="8" spans="2:13">
      <c r="B8" s="8"/>
      <c r="C8" s="8"/>
      <c r="D8" s="8"/>
      <c r="E8" s="8"/>
      <c r="F8" s="98" t="s">
        <v>13</v>
      </c>
      <c r="G8" s="98"/>
      <c r="H8" s="98"/>
      <c r="I8" s="98"/>
      <c r="J8" s="98"/>
      <c r="K8" s="50" t="s">
        <v>103</v>
      </c>
      <c r="L8" s="8" t="s">
        <v>16</v>
      </c>
      <c r="M8" s="8" t="s">
        <v>14</v>
      </c>
    </row>
    <row r="9" spans="2:13" ht="30">
      <c r="B9" s="8" t="s">
        <v>4</v>
      </c>
      <c r="C9" s="8" t="s">
        <v>5</v>
      </c>
      <c r="D9" s="8" t="s">
        <v>6</v>
      </c>
      <c r="E9" s="8" t="s">
        <v>7</v>
      </c>
      <c r="F9" s="8" t="s">
        <v>12</v>
      </c>
      <c r="G9" s="8" t="s">
        <v>8</v>
      </c>
      <c r="H9" s="8" t="s">
        <v>9</v>
      </c>
      <c r="I9" s="8" t="s">
        <v>10</v>
      </c>
      <c r="J9" s="8" t="s">
        <v>11</v>
      </c>
      <c r="K9" s="50" t="s">
        <v>104</v>
      </c>
      <c r="L9" s="8" t="s">
        <v>68</v>
      </c>
      <c r="M9" s="8" t="s">
        <v>15</v>
      </c>
    </row>
    <row r="10" spans="2:13" ht="30">
      <c r="B10" s="14" t="str">
        <f>+'[1]SOW Work Pkgs (Price&amp;Cost)'!B9</f>
        <v>1.a</v>
      </c>
      <c r="C10" s="9" t="str">
        <f>+'[1]SOW Work Pkgs (Price&amp;Cost)'!C9</f>
        <v>NSIZ</v>
      </c>
      <c r="D10" s="9" t="str">
        <f>+'[1]SOW Work Pkgs (Price&amp;Cost)'!D9</f>
        <v>NSIZ /1</v>
      </c>
      <c r="E10" s="9" t="str">
        <f>+'[1]SOW Work Pkgs (Price&amp;Cost)'!E9</f>
        <v>NS Server Admin, Network and cable Infrastructure, Desktop Support in the IZ &lt;= 40 workstations</v>
      </c>
      <c r="F10" s="9">
        <f>+'[1]SOW Work Pkgs (Price&amp;Cost)'!O9</f>
        <v>172.9</v>
      </c>
      <c r="G10" s="10">
        <f>+'[1]SOW Work Pkgs (Price&amp;Cost)'!G9</f>
        <v>17572.48</v>
      </c>
      <c r="H10" s="10">
        <f>+'[1]SOW Work Pkgs (Price&amp;Cost)'!H9</f>
        <v>14057.48</v>
      </c>
      <c r="I10" s="10">
        <f t="shared" ref="I10:I55" si="0">+G10-H10</f>
        <v>3515</v>
      </c>
      <c r="J10" s="11">
        <f t="shared" ref="J10:J55" si="1">+I10/H10</f>
        <v>0.25004481599831552</v>
      </c>
      <c r="K10" s="11"/>
      <c r="L10" s="13" t="str">
        <f>IF('[1]SOW Work Pkgs (Price&amp;Cost)'!P9=0,"","X")</f>
        <v/>
      </c>
      <c r="M10" s="12">
        <f t="shared" ref="M10:M54" si="2">+G10*12</f>
        <v>210869.76000000001</v>
      </c>
    </row>
    <row r="11" spans="2:13" ht="30">
      <c r="B11" s="14" t="str">
        <f>+'[1]SOW Work Pkgs (Price&amp;Cost)'!B10</f>
        <v>1.b</v>
      </c>
      <c r="C11" s="9" t="str">
        <f>+'[1]SOW Work Pkgs (Price&amp;Cost)'!C10</f>
        <v>NSIZ</v>
      </c>
      <c r="D11" s="9" t="str">
        <f>+'[1]SOW Work Pkgs (Price&amp;Cost)'!D10</f>
        <v>NSIZ /2</v>
      </c>
      <c r="E11" s="9" t="str">
        <f>+'[1]SOW Work Pkgs (Price&amp;Cost)'!E10</f>
        <v>NS Server Admin, Network and cable Infrastructure, Desktop Support in the IZ &gt; 40 &lt;= 80 workstations</v>
      </c>
      <c r="F11" s="9">
        <f>+'[1]SOW Work Pkgs (Price&amp;Cost)'!O10</f>
        <v>172.9</v>
      </c>
      <c r="G11" s="10">
        <f>+'[1]SOW Work Pkgs (Price&amp;Cost)'!G10</f>
        <v>17572.48</v>
      </c>
      <c r="H11" s="10">
        <f>+'[1]SOW Work Pkgs (Price&amp;Cost)'!H10</f>
        <v>14057.48</v>
      </c>
      <c r="I11" s="10">
        <f t="shared" si="0"/>
        <v>3515</v>
      </c>
      <c r="J11" s="11">
        <f t="shared" si="1"/>
        <v>0.25004481599831552</v>
      </c>
      <c r="K11" s="11"/>
      <c r="L11" s="13" t="str">
        <f>IF('[1]SOW Work Pkgs (Price&amp;Cost)'!P10=0,"","X")</f>
        <v>X</v>
      </c>
      <c r="M11" s="12">
        <f t="shared" si="2"/>
        <v>210869.76000000001</v>
      </c>
    </row>
    <row r="12" spans="2:13" ht="30">
      <c r="B12" s="14" t="str">
        <f>+'[1]SOW Work Pkgs (Price&amp;Cost)'!B11</f>
        <v>2.a</v>
      </c>
      <c r="C12" s="9" t="str">
        <f>+'[1]SOW Work Pkgs (Price&amp;Cost)'!C11</f>
        <v>UNIZ</v>
      </c>
      <c r="D12" s="9" t="str">
        <f>+'[1]SOW Work Pkgs (Price&amp;Cost)'!D11</f>
        <v>UNIZ /1</v>
      </c>
      <c r="E12" s="9" t="str">
        <f>+'[1]SOW Work Pkgs (Price&amp;Cost)'!E11</f>
        <v xml:space="preserve">Unclassified Server Admin, Network and cable Infrastructure, Desktop Support in the IZ for &lt;=40 Workstations </v>
      </c>
      <c r="F12" s="9">
        <f>+'[1]SOW Work Pkgs (Price&amp;Cost)'!O11</f>
        <v>172.9</v>
      </c>
      <c r="G12" s="10">
        <f>+'[1]SOW Work Pkgs (Price&amp;Cost)'!G11</f>
        <v>17572.48</v>
      </c>
      <c r="H12" s="10">
        <f>+'[1]SOW Work Pkgs (Price&amp;Cost)'!H11</f>
        <v>14057.48</v>
      </c>
      <c r="I12" s="10">
        <f t="shared" si="0"/>
        <v>3515</v>
      </c>
      <c r="J12" s="11">
        <f t="shared" si="1"/>
        <v>0.25004481599831552</v>
      </c>
      <c r="K12" s="63" t="s">
        <v>105</v>
      </c>
      <c r="L12" s="13" t="str">
        <f>IF('[1]SOW Work Pkgs (Price&amp;Cost)'!P11=0,"","X")</f>
        <v/>
      </c>
      <c r="M12" s="12">
        <f t="shared" si="2"/>
        <v>210869.76000000001</v>
      </c>
    </row>
    <row r="13" spans="2:13" ht="30">
      <c r="B13" s="14" t="str">
        <f>+'[1]SOW Work Pkgs (Price&amp;Cost)'!B12</f>
        <v>2.b</v>
      </c>
      <c r="C13" s="9" t="str">
        <f>+'[1]SOW Work Pkgs (Price&amp;Cost)'!C12</f>
        <v>UNIZ</v>
      </c>
      <c r="D13" s="9" t="str">
        <f>+'[1]SOW Work Pkgs (Price&amp;Cost)'!D12</f>
        <v>UNIZ /2</v>
      </c>
      <c r="E13" s="9" t="str">
        <f>+'[1]SOW Work Pkgs (Price&amp;Cost)'!E12</f>
        <v>Unclassified Server Admin, Network and cable Infrastructure, Desktop Support in the IZ for &gt;40 and &lt;= 100 Workstations</v>
      </c>
      <c r="F13" s="9">
        <f>+'[1]SOW Work Pkgs (Price&amp;Cost)'!O12</f>
        <v>172.9</v>
      </c>
      <c r="G13" s="10">
        <f>+'[1]SOW Work Pkgs (Price&amp;Cost)'!G12</f>
        <v>17572.48</v>
      </c>
      <c r="H13" s="10">
        <f>+'[1]SOW Work Pkgs (Price&amp;Cost)'!H12</f>
        <v>14057.48</v>
      </c>
      <c r="I13" s="10">
        <f t="shared" si="0"/>
        <v>3515</v>
      </c>
      <c r="J13" s="11">
        <f t="shared" si="1"/>
        <v>0.25004481599831552</v>
      </c>
      <c r="K13" s="11"/>
      <c r="L13" s="13" t="str">
        <f>IF('[1]SOW Work Pkgs (Price&amp;Cost)'!P12=0,"","X")</f>
        <v>X</v>
      </c>
      <c r="M13" s="12">
        <f t="shared" si="2"/>
        <v>210869.76000000001</v>
      </c>
    </row>
    <row r="14" spans="2:13" ht="30">
      <c r="B14" s="14" t="str">
        <f>+'[1]SOW Work Pkgs (Price&amp;Cost)'!B13</f>
        <v>2.c</v>
      </c>
      <c r="C14" s="9" t="str">
        <f>+'[1]SOW Work Pkgs (Price&amp;Cost)'!C13</f>
        <v>UNIZ</v>
      </c>
      <c r="D14" s="9" t="str">
        <f>+'[1]SOW Work Pkgs (Price&amp;Cost)'!D13</f>
        <v>UNIZ /3</v>
      </c>
      <c r="E14" s="9" t="str">
        <f>+'[1]SOW Work Pkgs (Price&amp;Cost)'!E13</f>
        <v>Unclassified Server Admin, Network and cable Infrastructure, Desktop Support in the IZ for &gt;100 and &lt;= 150 Workstations</v>
      </c>
      <c r="F14" s="9">
        <f>+'[1]SOW Work Pkgs (Price&amp;Cost)'!O13</f>
        <v>172.9</v>
      </c>
      <c r="G14" s="10">
        <f>+'[1]SOW Work Pkgs (Price&amp;Cost)'!G13</f>
        <v>17572.48</v>
      </c>
      <c r="H14" s="10">
        <f>+'[1]SOW Work Pkgs (Price&amp;Cost)'!H13</f>
        <v>14057.48</v>
      </c>
      <c r="I14" s="10">
        <f t="shared" si="0"/>
        <v>3515</v>
      </c>
      <c r="J14" s="11">
        <f t="shared" si="1"/>
        <v>0.25004481599831552</v>
      </c>
      <c r="K14" s="11"/>
      <c r="L14" s="13" t="str">
        <f>IF('[1]SOW Work Pkgs (Price&amp;Cost)'!P13=0,"","X")</f>
        <v/>
      </c>
      <c r="M14" s="12">
        <f t="shared" si="2"/>
        <v>210869.76000000001</v>
      </c>
    </row>
    <row r="15" spans="2:13" ht="30">
      <c r="B15" s="14" t="str">
        <f>+'[1]SOW Work Pkgs (Price&amp;Cost)'!B14</f>
        <v>3.a</v>
      </c>
      <c r="C15" s="9" t="str">
        <f>+'[1]SOW Work Pkgs (Price&amp;Cost)'!C14</f>
        <v xml:space="preserve">Minor Networks and Standalone W/S  </v>
      </c>
      <c r="D15" s="9" t="str">
        <f>+'[1]SOW Work Pkgs (Price&amp;Cost)'!D14</f>
        <v>MNSA/1</v>
      </c>
      <c r="E15" s="9" t="str">
        <f>+'[1]SOW Work Pkgs (Price&amp;Cost)'!E14</f>
        <v>Desktop Support for &lt;= 20 standalone workstations and Laptops in the IZ</v>
      </c>
      <c r="F15" s="9">
        <f>+'[1]SOW Work Pkgs (Price&amp;Cost)'!O14</f>
        <v>53.2</v>
      </c>
      <c r="G15" s="10">
        <f>+'[1]SOW Work Pkgs (Price&amp;Cost)'!G14</f>
        <v>18660.712</v>
      </c>
      <c r="H15" s="10">
        <f>+'[1]SOW Work Pkgs (Price&amp;Cost)'!H14</f>
        <v>14928.712</v>
      </c>
      <c r="I15" s="10">
        <f t="shared" si="0"/>
        <v>3732</v>
      </c>
      <c r="J15" s="11">
        <f t="shared" si="1"/>
        <v>0.24998807666729722</v>
      </c>
      <c r="K15" s="11"/>
      <c r="L15" s="13" t="str">
        <f>IF('[1]SOW Work Pkgs (Price&amp;Cost)'!P14=0,"","X")</f>
        <v>X</v>
      </c>
      <c r="M15" s="12">
        <f t="shared" si="2"/>
        <v>223928.54399999999</v>
      </c>
    </row>
    <row r="16" spans="2:13" ht="30">
      <c r="B16" s="14" t="str">
        <f>+'[1]SOW Work Pkgs (Price&amp;Cost)'!B15</f>
        <v>3.b</v>
      </c>
      <c r="C16" s="9" t="str">
        <f>+'[1]SOW Work Pkgs (Price&amp;Cost)'!C15</f>
        <v xml:space="preserve">Minor Networks and Standalone W/S  </v>
      </c>
      <c r="D16" s="9" t="str">
        <f>+'[1]SOW Work Pkgs (Price&amp;Cost)'!D15</f>
        <v>MNSA/2</v>
      </c>
      <c r="E16" s="9" t="str">
        <f>+'[1]SOW Work Pkgs (Price&amp;Cost)'!E15</f>
        <v xml:space="preserve">Administrative Support for &gt;20 &lt;=50 standalone Workstations or Laptops as detailed in Statement of Work </v>
      </c>
      <c r="F16" s="9">
        <f>+'[1]SOW Work Pkgs (Price&amp;Cost)'!O15</f>
        <v>53.2</v>
      </c>
      <c r="G16" s="10">
        <f>+'[1]SOW Work Pkgs (Price&amp;Cost)'!G15</f>
        <v>18660.712</v>
      </c>
      <c r="H16" s="10">
        <f>+'[1]SOW Work Pkgs (Price&amp;Cost)'!H15</f>
        <v>14928.712</v>
      </c>
      <c r="I16" s="10">
        <f t="shared" si="0"/>
        <v>3732</v>
      </c>
      <c r="J16" s="11">
        <f t="shared" si="1"/>
        <v>0.24998807666729722</v>
      </c>
      <c r="K16" s="11"/>
      <c r="L16" s="13" t="str">
        <f>IF('[1]SOW Work Pkgs (Price&amp;Cost)'!P15=0,"","X")</f>
        <v/>
      </c>
      <c r="M16" s="12">
        <f t="shared" si="2"/>
        <v>223928.54399999999</v>
      </c>
    </row>
    <row r="17" spans="2:13" ht="30">
      <c r="B17" s="14" t="str">
        <f>+'[1]SOW Work Pkgs (Price&amp;Cost)'!B16</f>
        <v>3.c</v>
      </c>
      <c r="C17" s="9" t="str">
        <f>+'[1]SOW Work Pkgs (Price&amp;Cost)'!C16</f>
        <v xml:space="preserve">Minor Networks and Standalone W/S  </v>
      </c>
      <c r="D17" s="9" t="str">
        <f>+'[1]SOW Work Pkgs (Price&amp;Cost)'!D16</f>
        <v>MNSA/3</v>
      </c>
      <c r="E17" s="9" t="str">
        <f>+'[1]SOW Work Pkgs (Price&amp;Cost)'!E16</f>
        <v>Support for NDSS, including all workstations and associated network devices and infrastructure</v>
      </c>
      <c r="F17" s="9">
        <f>+'[1]SOW Work Pkgs (Price&amp;Cost)'!O16</f>
        <v>186.2</v>
      </c>
      <c r="G17" s="10">
        <f>+'[1]SOW Work Pkgs (Price&amp;Cost)'!G16</f>
        <v>17257.099999999999</v>
      </c>
      <c r="H17" s="10">
        <f>+'[1]SOW Work Pkgs (Price&amp;Cost)'!H16</f>
        <v>13805.1</v>
      </c>
      <c r="I17" s="10">
        <f t="shared" si="0"/>
        <v>3451.9999999999982</v>
      </c>
      <c r="J17" s="11">
        <f t="shared" si="1"/>
        <v>0.25005251682349261</v>
      </c>
      <c r="K17" s="11"/>
      <c r="L17" s="13" t="str">
        <f>IF('[1]SOW Work Pkgs (Price&amp;Cost)'!P16=0,"","X")</f>
        <v>X</v>
      </c>
      <c r="M17" s="12">
        <f t="shared" si="2"/>
        <v>207085.19999999998</v>
      </c>
    </row>
    <row r="18" spans="2:13" ht="30">
      <c r="B18" s="57">
        <f>+'[1]SOW Work Pkgs (Price&amp;Cost)'!B17</f>
        <v>4</v>
      </c>
      <c r="C18" s="58" t="str">
        <f>+'[1]SOW Work Pkgs (Price&amp;Cost)'!C17</f>
        <v>VTC</v>
      </c>
      <c r="D18" s="58" t="str">
        <f>+'[1]SOW Work Pkgs (Price&amp;Cost)'!D17</f>
        <v>VTCIZ/1</v>
      </c>
      <c r="E18" s="58" t="str">
        <f>+'[1]SOW Work Pkgs (Price&amp;Cost)'!E17</f>
        <v>Provision, maintenance, operation and administration of VTC Services and equipment in the IZ</v>
      </c>
      <c r="F18" s="58">
        <f>+'[1]SOW Work Pkgs (Price&amp;Cost)'!O17</f>
        <v>53.2</v>
      </c>
      <c r="G18" s="59">
        <f>+'[1]SOW Work Pkgs (Price&amp;Cost)'!G17</f>
        <v>4929.7119999999995</v>
      </c>
      <c r="H18" s="59">
        <f>+'[1]SOW Work Pkgs (Price&amp;Cost)'!H17</f>
        <v>3943.712</v>
      </c>
      <c r="I18" s="59">
        <f t="shared" si="0"/>
        <v>985.99999999999955</v>
      </c>
      <c r="J18" s="60">
        <f t="shared" si="1"/>
        <v>0.25001825691125507</v>
      </c>
      <c r="K18" s="63" t="s">
        <v>105</v>
      </c>
      <c r="L18" s="61" t="str">
        <f>IF('[1]SOW Work Pkgs (Price&amp;Cost)'!P17=0,"","X")</f>
        <v>X</v>
      </c>
      <c r="M18" s="62">
        <f t="shared" si="2"/>
        <v>59156.543999999994</v>
      </c>
    </row>
    <row r="19" spans="2:13" ht="30">
      <c r="B19" s="14" t="str">
        <f>+'[1]SOW Work Pkgs (Price&amp;Cost)'!B18</f>
        <v>5.a</v>
      </c>
      <c r="C19" s="9" t="str">
        <f>+'[1]SOW Work Pkgs (Price&amp;Cost)'!C18</f>
        <v xml:space="preserve">Service desk and Network Monitoring </v>
      </c>
      <c r="D19" s="9" t="str">
        <f>+'[1]SOW Work Pkgs (Price&amp;Cost)'!D18</f>
        <v>SDNM/1</v>
      </c>
      <c r="E19" s="9" t="str">
        <f>+'[1]SOW Work Pkgs (Price&amp;Cost)'!E18</f>
        <v xml:space="preserve">Provision of Service Desk service for equipment in the IZ </v>
      </c>
      <c r="F19" s="9">
        <f>+'[1]SOW Work Pkgs (Price&amp;Cost)'!O18</f>
        <v>239.39999999999998</v>
      </c>
      <c r="G19" s="10">
        <f>+'[1]SOW Work Pkgs (Price&amp;Cost)'!G18</f>
        <v>30848.925999999999</v>
      </c>
      <c r="H19" s="10">
        <f>+'[1]SOW Work Pkgs (Price&amp;Cost)'!H18</f>
        <v>24678.925999999999</v>
      </c>
      <c r="I19" s="10">
        <f t="shared" si="0"/>
        <v>6170</v>
      </c>
      <c r="J19" s="11">
        <f t="shared" si="1"/>
        <v>0.25001087972791036</v>
      </c>
      <c r="K19" s="63" t="s">
        <v>105</v>
      </c>
      <c r="L19" s="13" t="str">
        <f>IF('[1]SOW Work Pkgs (Price&amp;Cost)'!P18=0,"","X")</f>
        <v>X</v>
      </c>
      <c r="M19" s="12">
        <f t="shared" si="2"/>
        <v>370187.11199999996</v>
      </c>
    </row>
    <row r="20" spans="2:13" ht="30">
      <c r="B20" s="14" t="str">
        <f>+'[1]SOW Work Pkgs (Price&amp;Cost)'!B19</f>
        <v>5.b</v>
      </c>
      <c r="C20" s="9" t="str">
        <f>+'[1]SOW Work Pkgs (Price&amp;Cost)'!C19</f>
        <v>Service desk and Network Monitoring</v>
      </c>
      <c r="D20" s="9" t="str">
        <f>+'[1]SOW Work Pkgs (Price&amp;Cost)'!D19</f>
        <v>SDNM/2</v>
      </c>
      <c r="E20" s="9" t="str">
        <f>+'[1]SOW Work Pkgs (Price&amp;Cost)'!E19</f>
        <v xml:space="preserve">Provision of Service Desk service for equipment in Camp Dublin  </v>
      </c>
      <c r="F20" s="84">
        <v>1.7000000000000001E-2</v>
      </c>
      <c r="G20" s="10">
        <f>+'[1]SOW Work Pkgs (Price&amp;Cost)'!G19</f>
        <v>13056.206</v>
      </c>
      <c r="H20" s="10">
        <f>+'[1]SOW Work Pkgs (Price&amp;Cost)'!H19</f>
        <v>10445.206</v>
      </c>
      <c r="I20" s="10">
        <f t="shared" si="0"/>
        <v>2611</v>
      </c>
      <c r="J20" s="11">
        <f t="shared" si="1"/>
        <v>0.24997113508340574</v>
      </c>
      <c r="K20" s="63" t="s">
        <v>105</v>
      </c>
      <c r="L20" s="13" t="str">
        <f>IF('[1]SOW Work Pkgs (Price&amp;Cost)'!P19=0,"","X")</f>
        <v>X</v>
      </c>
      <c r="M20" s="12">
        <f t="shared" si="2"/>
        <v>156674.47200000001</v>
      </c>
    </row>
    <row r="21" spans="2:13" ht="30">
      <c r="B21" s="14" t="str">
        <f>+'[1]SOW Work Pkgs (Price&amp;Cost)'!B20</f>
        <v>5.c</v>
      </c>
      <c r="C21" s="9" t="str">
        <f>+'[1]SOW Work Pkgs (Price&amp;Cost)'!C20</f>
        <v>Service desk and Network Monitoring</v>
      </c>
      <c r="D21" s="9" t="str">
        <f>+'[1]SOW Work Pkgs (Price&amp;Cost)'!D20</f>
        <v>SDNM/3</v>
      </c>
      <c r="E21" s="9" t="str">
        <f>+'[1]SOW Work Pkgs (Price&amp;Cost)'!E20</f>
        <v xml:space="preserve">Provision of Service Desk service for Ar equipment in Rustamiyah  </v>
      </c>
      <c r="F21" s="9">
        <f>+'[1]SOW Work Pkgs (Price&amp;Cost)'!O20</f>
        <v>0</v>
      </c>
      <c r="G21" s="10">
        <f>+'[1]SOW Work Pkgs (Price&amp;Cost)'!G20</f>
        <v>7773</v>
      </c>
      <c r="H21" s="10">
        <f>+'[1]SOW Work Pkgs (Price&amp;Cost)'!H20</f>
        <v>6218</v>
      </c>
      <c r="I21" s="10">
        <f t="shared" si="0"/>
        <v>1555</v>
      </c>
      <c r="J21" s="11">
        <f t="shared" si="1"/>
        <v>0.25008041170794465</v>
      </c>
      <c r="K21" s="63" t="s">
        <v>105</v>
      </c>
      <c r="L21" s="13" t="str">
        <f>IF('[1]SOW Work Pkgs (Price&amp;Cost)'!P20=0,"","X")</f>
        <v>X</v>
      </c>
      <c r="M21" s="12">
        <f t="shared" si="2"/>
        <v>93276</v>
      </c>
    </row>
    <row r="22" spans="2:13">
      <c r="B22" s="14">
        <f>+'[1]SOW Work Pkgs (Price&amp;Cost)'!B21</f>
        <v>6</v>
      </c>
      <c r="C22" s="9" t="str">
        <f>+'[1]SOW Work Pkgs (Price&amp;Cost)'!C21</f>
        <v>Crypto</v>
      </c>
      <c r="D22" s="9" t="str">
        <f>+'[1]SOW Work Pkgs (Price&amp;Cost)'!D21</f>
        <v>CRYP/1</v>
      </c>
      <c r="E22" s="9" t="str">
        <f>+'[1]SOW Work Pkgs (Price&amp;Cost)'!E21</f>
        <v xml:space="preserve">Maintenance of Cryptographic accounts </v>
      </c>
      <c r="F22" s="9">
        <f>+'[1]SOW Work Pkgs (Price&amp;Cost)'!O21</f>
        <v>133</v>
      </c>
      <c r="G22" s="10">
        <f>+'[1]SOW Work Pkgs (Price&amp;Cost)'!G21</f>
        <v>13230.776</v>
      </c>
      <c r="H22" s="10">
        <f>+'[1]SOW Work Pkgs (Price&amp;Cost)'!H21</f>
        <v>10584.776</v>
      </c>
      <c r="I22" s="10">
        <f t="shared" si="0"/>
        <v>2646</v>
      </c>
      <c r="J22" s="11">
        <f t="shared" si="1"/>
        <v>0.24998167178974784</v>
      </c>
      <c r="K22" s="11"/>
      <c r="L22" s="13" t="str">
        <f>IF('[1]SOW Work Pkgs (Price&amp;Cost)'!P21=0,"","X")</f>
        <v>X</v>
      </c>
      <c r="M22" s="12">
        <f t="shared" si="2"/>
        <v>158769.31200000001</v>
      </c>
    </row>
    <row r="23" spans="2:13" ht="30">
      <c r="B23" s="14">
        <f>+'[1]SOW Work Pkgs (Price&amp;Cost)'!B22</f>
        <v>7</v>
      </c>
      <c r="C23" s="9" t="str">
        <f>+'[1]SOW Work Pkgs (Price&amp;Cost)'!C22</f>
        <v>Telephone Services</v>
      </c>
      <c r="D23" s="9" t="str">
        <f>+'[1]SOW Work Pkgs (Price&amp;Cost)'!D22</f>
        <v>TSIZ/1</v>
      </c>
      <c r="E23" s="9" t="str">
        <f>+'[1]SOW Work Pkgs (Price&amp;Cost)'!E22</f>
        <v>Maintenance and operation of PBX and associated lines and handsets in IZ and support of all telephone handsets</v>
      </c>
      <c r="F23" s="9">
        <f>+'[1]SOW Work Pkgs (Price&amp;Cost)'!O22</f>
        <v>53.2</v>
      </c>
      <c r="G23" s="10">
        <f>+'[1]SOW Work Pkgs (Price&amp;Cost)'!G22</f>
        <v>12159.732</v>
      </c>
      <c r="H23" s="10">
        <f>+'[1]SOW Work Pkgs (Price&amp;Cost)'!H22</f>
        <v>9727.732</v>
      </c>
      <c r="I23" s="10">
        <f t="shared" si="0"/>
        <v>2432</v>
      </c>
      <c r="J23" s="11">
        <f t="shared" si="1"/>
        <v>0.25000688752527311</v>
      </c>
      <c r="K23" s="63" t="s">
        <v>105</v>
      </c>
      <c r="L23" s="13" t="str">
        <f>IF('[1]SOW Work Pkgs (Price&amp;Cost)'!P22=0,"","X")</f>
        <v>X</v>
      </c>
      <c r="M23" s="12">
        <f t="shared" si="2"/>
        <v>145916.78399999999</v>
      </c>
    </row>
    <row r="24" spans="2:13">
      <c r="B24" s="14">
        <f>+'[1]SOW Work Pkgs (Price&amp;Cost)'!B23</f>
        <v>8</v>
      </c>
      <c r="C24" s="9" t="str">
        <f>+'[1]SOW Work Pkgs (Price&amp;Cost)'!C23</f>
        <v>SATCOM</v>
      </c>
      <c r="D24" s="9" t="str">
        <f>+'[1]SOW Work Pkgs (Price&amp;Cost)'!D23</f>
        <v>SATCIZ/1</v>
      </c>
      <c r="E24" s="9" t="str">
        <f>+'[1]SOW Work Pkgs (Price&amp;Cost)'!E23</f>
        <v>Support to SATCOM in the IZ</v>
      </c>
      <c r="F24" s="9">
        <f>+'[1]SOW Work Pkgs (Price&amp;Cost)'!O23</f>
        <v>66.5</v>
      </c>
      <c r="G24" s="10">
        <f>+'[1]SOW Work Pkgs (Price&amp;Cost)'!G23</f>
        <v>6882.518</v>
      </c>
      <c r="H24" s="10">
        <f>+'[1]SOW Work Pkgs (Price&amp;Cost)'!H23</f>
        <v>5505.518</v>
      </c>
      <c r="I24" s="10">
        <f t="shared" si="0"/>
        <v>1377</v>
      </c>
      <c r="J24" s="11">
        <f t="shared" si="1"/>
        <v>0.25011270510785727</v>
      </c>
      <c r="K24" s="63" t="s">
        <v>105</v>
      </c>
      <c r="L24" s="13" t="str">
        <f>IF('[1]SOW Work Pkgs (Price&amp;Cost)'!P23=0,"","X")</f>
        <v>X</v>
      </c>
      <c r="M24" s="12">
        <f t="shared" si="2"/>
        <v>82590.216</v>
      </c>
    </row>
    <row r="25" spans="2:13">
      <c r="B25" s="14">
        <f>+'[1]SOW Work Pkgs (Price&amp;Cost)'!B24</f>
        <v>9</v>
      </c>
      <c r="C25" s="9" t="str">
        <f>+'[1]SOW Work Pkgs (Price&amp;Cost)'!C24</f>
        <v>DLOS</v>
      </c>
      <c r="D25" s="9" t="str">
        <f>+'[1]SOW Work Pkgs (Price&amp;Cost)'!D24</f>
        <v>DLOSIZ/1</v>
      </c>
      <c r="E25" s="9" t="str">
        <f>+'[1]SOW Work Pkgs (Price&amp;Cost)'!E24</f>
        <v>Support to DLOS in the IZ</v>
      </c>
      <c r="F25" s="9">
        <f>+'[1]SOW Work Pkgs (Price&amp;Cost)'!O24</f>
        <v>26.6</v>
      </c>
      <c r="G25" s="10">
        <f>+'[1]SOW Work Pkgs (Price&amp;Cost)'!G24</f>
        <v>7868.9979999999996</v>
      </c>
      <c r="H25" s="10">
        <f>+'[1]SOW Work Pkgs (Price&amp;Cost)'!H24</f>
        <v>6294.9979999999996</v>
      </c>
      <c r="I25" s="10">
        <f t="shared" si="0"/>
        <v>1574</v>
      </c>
      <c r="J25" s="11">
        <f t="shared" si="1"/>
        <v>0.25003979349953726</v>
      </c>
      <c r="K25" s="11"/>
      <c r="L25" s="13" t="str">
        <f>IF('[1]SOW Work Pkgs (Price&amp;Cost)'!P24=0,"","X")</f>
        <v>X</v>
      </c>
      <c r="M25" s="12">
        <f t="shared" si="2"/>
        <v>94427.975999999995</v>
      </c>
    </row>
    <row r="26" spans="2:13">
      <c r="B26" s="14" t="str">
        <f>+'[1]SOW Work Pkgs (Price&amp;Cost)'!B25</f>
        <v>10.a</v>
      </c>
      <c r="C26" s="9" t="str">
        <f>+'[1]SOW Work Pkgs (Price&amp;Cost)'!C25</f>
        <v>TLK</v>
      </c>
      <c r="D26" s="9" t="str">
        <f>+'[1]SOW Work Pkgs (Price&amp;Cost)'!D25</f>
        <v>TLK/1</v>
      </c>
      <c r="E26" s="9" t="str">
        <f>+'[1]SOW Work Pkgs (Price&amp;Cost)'!E25</f>
        <v>Support to TLK &gt;=1 and &lt;=2</v>
      </c>
      <c r="F26" s="9">
        <f>+'[1]SOW Work Pkgs (Price&amp;Cost)'!O25</f>
        <v>93.1</v>
      </c>
      <c r="G26" s="10">
        <f>+'[1]SOW Work Pkgs (Price&amp;Cost)'!G25</f>
        <v>9529.384</v>
      </c>
      <c r="H26" s="10">
        <f>+'[1]SOW Work Pkgs (Price&amp;Cost)'!H25</f>
        <v>7623.384</v>
      </c>
      <c r="I26" s="10">
        <f t="shared" si="0"/>
        <v>1906</v>
      </c>
      <c r="J26" s="11">
        <f t="shared" si="1"/>
        <v>0.25002020100259936</v>
      </c>
      <c r="K26" s="11"/>
      <c r="L26" s="13" t="str">
        <f>IF('[1]SOW Work Pkgs (Price&amp;Cost)'!P25=0,"","X")</f>
        <v>X</v>
      </c>
      <c r="M26" s="12">
        <f t="shared" si="2"/>
        <v>114352.60800000001</v>
      </c>
    </row>
    <row r="27" spans="2:13">
      <c r="B27" s="14" t="str">
        <f>+'[1]SOW Work Pkgs (Price&amp;Cost)'!B26</f>
        <v>10.b</v>
      </c>
      <c r="C27" s="9" t="str">
        <f>+'[1]SOW Work Pkgs (Price&amp;Cost)'!C26</f>
        <v>TLK</v>
      </c>
      <c r="D27" s="9" t="str">
        <f>+'[1]SOW Work Pkgs (Price&amp;Cost)'!D26</f>
        <v>TLK/2</v>
      </c>
      <c r="E27" s="9" t="str">
        <f>+'[1]SOW Work Pkgs (Price&amp;Cost)'!E26</f>
        <v>Support to TLK &gt;3 and &lt;=5</v>
      </c>
      <c r="F27" s="9">
        <f>+'[1]SOW Work Pkgs (Price&amp;Cost)'!O26</f>
        <v>93.1</v>
      </c>
      <c r="G27" s="10">
        <f>+'[1]SOW Work Pkgs (Price&amp;Cost)'!G26</f>
        <v>9529.384</v>
      </c>
      <c r="H27" s="10">
        <f>+'[1]SOW Work Pkgs (Price&amp;Cost)'!H26</f>
        <v>7623.384</v>
      </c>
      <c r="I27" s="10">
        <f t="shared" si="0"/>
        <v>1906</v>
      </c>
      <c r="J27" s="11">
        <f t="shared" si="1"/>
        <v>0.25002020100259936</v>
      </c>
      <c r="K27" s="11"/>
      <c r="L27" s="13" t="str">
        <f>IF('[1]SOW Work Pkgs (Price&amp;Cost)'!P26=0,"","X")</f>
        <v/>
      </c>
      <c r="M27" s="12">
        <f t="shared" si="2"/>
        <v>114352.60800000001</v>
      </c>
    </row>
    <row r="28" spans="2:13" ht="30">
      <c r="B28" s="14">
        <f>+'[1]SOW Work Pkgs (Price&amp;Cost)'!B27</f>
        <v>11</v>
      </c>
      <c r="C28" s="9" t="str">
        <f>+'[1]SOW Work Pkgs (Price&amp;Cost)'!C27</f>
        <v>Depot Services</v>
      </c>
      <c r="D28" s="9" t="str">
        <f>+'[1]SOW Work Pkgs (Price&amp;Cost)'!D27</f>
        <v>SMPA/1</v>
      </c>
      <c r="E28" s="9" t="str">
        <f>+'[1]SOW Work Pkgs (Price&amp;Cost)'!E27</f>
        <v xml:space="preserve">Provide Staff to operate the Depot and provide Stock Management and Property Accounting for all equipment in NTM-I </v>
      </c>
      <c r="F28" s="9">
        <f>+'[1]SOW Work Pkgs (Price&amp;Cost)'!O27</f>
        <v>79.8</v>
      </c>
      <c r="G28" s="10">
        <f>+'[1]SOW Work Pkgs (Price&amp;Cost)'!G27</f>
        <v>7395.1220000000003</v>
      </c>
      <c r="H28" s="10">
        <f>+'[1]SOW Work Pkgs (Price&amp;Cost)'!H27</f>
        <v>5916.1220000000003</v>
      </c>
      <c r="I28" s="10">
        <f t="shared" si="0"/>
        <v>1479</v>
      </c>
      <c r="J28" s="11">
        <f t="shared" si="1"/>
        <v>0.2499948445958349</v>
      </c>
      <c r="K28" s="63" t="s">
        <v>105</v>
      </c>
      <c r="L28" s="13" t="str">
        <f>IF('[1]SOW Work Pkgs (Price&amp;Cost)'!P27=0,"","X")</f>
        <v>X</v>
      </c>
      <c r="M28" s="12">
        <f t="shared" si="2"/>
        <v>88741.464000000007</v>
      </c>
    </row>
    <row r="29" spans="2:13">
      <c r="B29" s="14">
        <f>+'[1]SOW Work Pkgs (Price&amp;Cost)'!B28</f>
        <v>12</v>
      </c>
      <c r="C29" s="9" t="str">
        <f>+'[1]SOW Work Pkgs (Price&amp;Cost)'!C28</f>
        <v>Contract Management</v>
      </c>
      <c r="D29" s="9" t="str">
        <f>+'[1]SOW Work Pkgs (Price&amp;Cost)'!D28</f>
        <v>CMIZ/1</v>
      </c>
      <c r="E29" s="9" t="str">
        <f>+'[1]SOW Work Pkgs (Price&amp;Cost)'!E28</f>
        <v>Management of O&amp;M contract for services provided to IZ</v>
      </c>
      <c r="F29" s="9">
        <f>+'[1]SOW Work Pkgs (Price&amp;Cost)'!O28</f>
        <v>138.33333333333334</v>
      </c>
      <c r="G29" s="10">
        <f>+'[1]SOW Work Pkgs (Price&amp;Cost)'!G28</f>
        <v>23342.773333333334</v>
      </c>
      <c r="H29" s="10">
        <f>+'[1]SOW Work Pkgs (Price&amp;Cost)'!H28</f>
        <v>18673.773333333334</v>
      </c>
      <c r="I29" s="10">
        <f t="shared" si="0"/>
        <v>4669</v>
      </c>
      <c r="J29" s="11">
        <f t="shared" si="1"/>
        <v>0.2500298100794483</v>
      </c>
      <c r="K29" s="63" t="s">
        <v>105</v>
      </c>
      <c r="L29" s="13" t="str">
        <f>IF('[1]SOW Work Pkgs (Price&amp;Cost)'!P28=0,"","X")</f>
        <v>X</v>
      </c>
      <c r="M29" s="12">
        <f t="shared" si="2"/>
        <v>280113.28000000003</v>
      </c>
    </row>
    <row r="30" spans="2:13">
      <c r="B30" s="14">
        <f>+'[1]SOW Work Pkgs (Price&amp;Cost)'!B29</f>
        <v>13</v>
      </c>
      <c r="C30" s="9" t="str">
        <f>+'[1]SOW Work Pkgs (Price&amp;Cost)'!C29</f>
        <v>MONS</v>
      </c>
      <c r="D30" s="9" t="str">
        <f>+'[1]SOW Work Pkgs (Price&amp;Cost)'!D29</f>
        <v>MONS/1</v>
      </c>
      <c r="E30" s="9" t="str">
        <f>+'[1]SOW Work Pkgs (Price&amp;Cost)'!E29</f>
        <v>Provision of one person to work in NCSA HQ Mons</v>
      </c>
      <c r="F30" s="9">
        <f>+'[1]SOW Work Pkgs (Price&amp;Cost)'!O29</f>
        <v>160</v>
      </c>
      <c r="G30" s="10">
        <f>+'[1]SOW Work Pkgs (Price&amp;Cost)'!G29</f>
        <v>19520.456511278193</v>
      </c>
      <c r="H30" s="10">
        <f>+'[1]SOW Work Pkgs (Price&amp;Cost)'!H29</f>
        <v>15616.456511278195</v>
      </c>
      <c r="I30" s="10">
        <f t="shared" si="0"/>
        <v>3903.9999999999982</v>
      </c>
      <c r="J30" s="11">
        <f t="shared" si="1"/>
        <v>0.2499926918235601</v>
      </c>
      <c r="K30" s="63" t="s">
        <v>105</v>
      </c>
      <c r="L30" s="13" t="str">
        <f>IF('[1]SOW Work Pkgs (Price&amp;Cost)'!P29=0,"","X")</f>
        <v>X</v>
      </c>
      <c r="M30" s="12">
        <f t="shared" si="2"/>
        <v>234245.47813533832</v>
      </c>
    </row>
    <row r="31" spans="2:13" ht="30">
      <c r="B31" s="14" t="str">
        <f>+'[1]SOW Work Pkgs (Price&amp;Cost)'!B30</f>
        <v>14.a</v>
      </c>
      <c r="C31" s="9" t="str">
        <f>+'[1]SOW Work Pkgs (Price&amp;Cost)'!C30</f>
        <v>NSAR</v>
      </c>
      <c r="D31" s="9" t="str">
        <f>+'[1]SOW Work Pkgs (Price&amp;Cost)'!D30</f>
        <v>NSAR/1</v>
      </c>
      <c r="E31" s="9" t="str">
        <f>+'[1]SOW Work Pkgs (Price&amp;Cost)'!E30</f>
        <v>NS Server Admin, Network and cable Infrastructure, Desktop Support in the AR &lt;= 10 workstations</v>
      </c>
      <c r="F31" s="9">
        <f>+'[1]SOW Work Pkgs (Price&amp;Cost)'!O30</f>
        <v>0</v>
      </c>
      <c r="G31" s="10">
        <f>+'[1]SOW Work Pkgs (Price&amp;Cost)'!G30</f>
        <v>7773</v>
      </c>
      <c r="H31" s="10">
        <f>+'[1]SOW Work Pkgs (Price&amp;Cost)'!H30</f>
        <v>6218</v>
      </c>
      <c r="I31" s="10">
        <f t="shared" si="0"/>
        <v>1555</v>
      </c>
      <c r="J31" s="11">
        <f t="shared" si="1"/>
        <v>0.25008041170794465</v>
      </c>
      <c r="K31" s="11"/>
      <c r="L31" s="13" t="str">
        <f>IF('[1]SOW Work Pkgs (Price&amp;Cost)'!P30=0,"","X")</f>
        <v/>
      </c>
      <c r="M31" s="12">
        <f t="shared" si="2"/>
        <v>93276</v>
      </c>
    </row>
    <row r="32" spans="2:13" ht="30">
      <c r="B32" s="14" t="str">
        <f>+'[1]SOW Work Pkgs (Price&amp;Cost)'!B31</f>
        <v>14.b</v>
      </c>
      <c r="C32" s="9" t="str">
        <f>+'[1]SOW Work Pkgs (Price&amp;Cost)'!C31</f>
        <v>NSAR</v>
      </c>
      <c r="D32" s="9" t="str">
        <f>+'[1]SOW Work Pkgs (Price&amp;Cost)'!D31</f>
        <v>NSAR/2</v>
      </c>
      <c r="E32" s="9" t="str">
        <f>+'[1]SOW Work Pkgs (Price&amp;Cost)'!E31</f>
        <v>NS Server Admin, Network and cable Infrastructure, Desktop Support in the AR &gt; 10 &lt;= 50 workstations</v>
      </c>
      <c r="F32" s="9">
        <f>+'[1]SOW Work Pkgs (Price&amp;Cost)'!O31</f>
        <v>0</v>
      </c>
      <c r="G32" s="10">
        <f>+'[1]SOW Work Pkgs (Price&amp;Cost)'!G31</f>
        <v>7773</v>
      </c>
      <c r="H32" s="10">
        <f>+'[1]SOW Work Pkgs (Price&amp;Cost)'!H31</f>
        <v>6218</v>
      </c>
      <c r="I32" s="10">
        <f t="shared" si="0"/>
        <v>1555</v>
      </c>
      <c r="J32" s="11">
        <f t="shared" si="1"/>
        <v>0.25008041170794465</v>
      </c>
      <c r="K32" s="11"/>
      <c r="L32" s="13" t="str">
        <f>IF('[1]SOW Work Pkgs (Price&amp;Cost)'!P31=0,"","X")</f>
        <v>X</v>
      </c>
      <c r="M32" s="12">
        <f t="shared" si="2"/>
        <v>93276</v>
      </c>
    </row>
    <row r="33" spans="2:13" ht="30">
      <c r="B33" s="14" t="str">
        <f>+'[1]SOW Work Pkgs (Price&amp;Cost)'!B32</f>
        <v>15.a</v>
      </c>
      <c r="C33" s="9" t="str">
        <f>+'[1]SOW Work Pkgs (Price&amp;Cost)'!C32</f>
        <v>UNAR</v>
      </c>
      <c r="D33" s="9" t="str">
        <f>+'[1]SOW Work Pkgs (Price&amp;Cost)'!D32</f>
        <v>UNAR /1</v>
      </c>
      <c r="E33" s="9" t="str">
        <f>+'[1]SOW Work Pkgs (Price&amp;Cost)'!E32</f>
        <v xml:space="preserve">Unclassified Server Admin, Network and cable Infrastructure, Desktop Support in Ar Rustamiyah for &lt;=40 Workstations </v>
      </c>
      <c r="F33" s="9">
        <f>+'[1]SOW Work Pkgs (Price&amp;Cost)'!O32</f>
        <v>0</v>
      </c>
      <c r="G33" s="10">
        <f>+'[1]SOW Work Pkgs (Price&amp;Cost)'!G32</f>
        <v>7773</v>
      </c>
      <c r="H33" s="10">
        <f>+'[1]SOW Work Pkgs (Price&amp;Cost)'!H32</f>
        <v>6218</v>
      </c>
      <c r="I33" s="10">
        <f t="shared" si="0"/>
        <v>1555</v>
      </c>
      <c r="J33" s="11">
        <f t="shared" si="1"/>
        <v>0.25008041170794465</v>
      </c>
      <c r="K33" s="11"/>
      <c r="L33" s="13" t="str">
        <f>IF('[1]SOW Work Pkgs (Price&amp;Cost)'!P32=0,"","X")</f>
        <v/>
      </c>
      <c r="M33" s="12">
        <f t="shared" si="2"/>
        <v>93276</v>
      </c>
    </row>
    <row r="34" spans="2:13" ht="30">
      <c r="B34" s="14" t="str">
        <f>+'[1]SOW Work Pkgs (Price&amp;Cost)'!B33</f>
        <v>15.b</v>
      </c>
      <c r="C34" s="9" t="str">
        <f>+'[1]SOW Work Pkgs (Price&amp;Cost)'!C33</f>
        <v>UNAR</v>
      </c>
      <c r="D34" s="9" t="str">
        <f>+'[1]SOW Work Pkgs (Price&amp;Cost)'!D33</f>
        <v>UNAR /2</v>
      </c>
      <c r="E34" s="9" t="str">
        <f>+'[1]SOW Work Pkgs (Price&amp;Cost)'!E33</f>
        <v>Unclassified Server Admin, Network and cable Infrastructure, Desktop Support in Ar Rustamiyah for &gt;40 and &lt;= 100 Workstations</v>
      </c>
      <c r="F34" s="9">
        <f>+'[1]SOW Work Pkgs (Price&amp;Cost)'!O33</f>
        <v>0</v>
      </c>
      <c r="G34" s="10">
        <f>+'[1]SOW Work Pkgs (Price&amp;Cost)'!G33</f>
        <v>7773</v>
      </c>
      <c r="H34" s="10">
        <f>+'[1]SOW Work Pkgs (Price&amp;Cost)'!H33</f>
        <v>6218</v>
      </c>
      <c r="I34" s="10">
        <f t="shared" si="0"/>
        <v>1555</v>
      </c>
      <c r="J34" s="11">
        <f t="shared" si="1"/>
        <v>0.25008041170794465</v>
      </c>
      <c r="K34" s="11"/>
      <c r="L34" s="13" t="str">
        <f>IF('[1]SOW Work Pkgs (Price&amp;Cost)'!P33=0,"","X")</f>
        <v>X</v>
      </c>
      <c r="M34" s="12">
        <f t="shared" si="2"/>
        <v>93276</v>
      </c>
    </row>
    <row r="35" spans="2:13" ht="30">
      <c r="B35" s="14" t="str">
        <f>+'[1]SOW Work Pkgs (Price&amp;Cost)'!B34</f>
        <v>15.c</v>
      </c>
      <c r="C35" s="9" t="str">
        <f>+'[1]SOW Work Pkgs (Price&amp;Cost)'!C34</f>
        <v>UNAR</v>
      </c>
      <c r="D35" s="9" t="str">
        <f>+'[1]SOW Work Pkgs (Price&amp;Cost)'!D34</f>
        <v>UNAR /2</v>
      </c>
      <c r="E35" s="9" t="str">
        <f>+'[1]SOW Work Pkgs (Price&amp;Cost)'!E34</f>
        <v>Unclassified Server Admin, Network and cable Infrastructure, Desktop Support in Ar Rustamiyah for &gt;100 and &lt;= 200 Workstations</v>
      </c>
      <c r="F35" s="9">
        <f>+'[1]SOW Work Pkgs (Price&amp;Cost)'!O34</f>
        <v>0</v>
      </c>
      <c r="G35" s="10">
        <f>+'[1]SOW Work Pkgs (Price&amp;Cost)'!G34</f>
        <v>7773</v>
      </c>
      <c r="H35" s="10">
        <f>+'[1]SOW Work Pkgs (Price&amp;Cost)'!H34</f>
        <v>6218</v>
      </c>
      <c r="I35" s="10">
        <f t="shared" si="0"/>
        <v>1555</v>
      </c>
      <c r="J35" s="11">
        <f t="shared" si="1"/>
        <v>0.25008041170794465</v>
      </c>
      <c r="K35" s="11"/>
      <c r="L35" s="13" t="str">
        <f>IF('[1]SOW Work Pkgs (Price&amp;Cost)'!P34=0,"","X")</f>
        <v/>
      </c>
      <c r="M35" s="12">
        <f t="shared" si="2"/>
        <v>93276</v>
      </c>
    </row>
    <row r="36" spans="2:13" ht="30">
      <c r="B36" s="14" t="str">
        <f>+'[1]SOW Work Pkgs (Price&amp;Cost)'!B35</f>
        <v>16.a</v>
      </c>
      <c r="C36" s="9" t="str">
        <f>+'[1]SOW Work Pkgs (Price&amp;Cost)'!C35</f>
        <v xml:space="preserve">Minor Networks and Standalone W/S  </v>
      </c>
      <c r="D36" s="9" t="str">
        <f>+'[1]SOW Work Pkgs (Price&amp;Cost)'!D35</f>
        <v>MNSAAR/1</v>
      </c>
      <c r="E36" s="9" t="str">
        <f>+'[1]SOW Work Pkgs (Price&amp;Cost)'!E35</f>
        <v>Desktop Support for &gt;0 and &lt;= 20 standalone workstations or Laptops in the Ar Rustamiyah</v>
      </c>
      <c r="F36" s="9">
        <f>+'[1]SOW Work Pkgs (Price&amp;Cost)'!O35</f>
        <v>0</v>
      </c>
      <c r="G36" s="10">
        <f>+'[1]SOW Work Pkgs (Price&amp;Cost)'!G35</f>
        <v>7773</v>
      </c>
      <c r="H36" s="10">
        <f>+'[1]SOW Work Pkgs (Price&amp;Cost)'!H35</f>
        <v>6218</v>
      </c>
      <c r="I36" s="10">
        <f t="shared" si="0"/>
        <v>1555</v>
      </c>
      <c r="J36" s="11">
        <f t="shared" si="1"/>
        <v>0.25008041170794465</v>
      </c>
      <c r="K36" s="11"/>
      <c r="L36" s="13" t="str">
        <f>IF('[1]SOW Work Pkgs (Price&amp;Cost)'!P35=0,"","X")</f>
        <v>X</v>
      </c>
      <c r="M36" s="12">
        <f t="shared" si="2"/>
        <v>93276</v>
      </c>
    </row>
    <row r="37" spans="2:13" ht="30">
      <c r="B37" s="14" t="str">
        <f>+'[1]SOW Work Pkgs (Price&amp;Cost)'!B36</f>
        <v>16.b</v>
      </c>
      <c r="C37" s="9" t="str">
        <f>+'[1]SOW Work Pkgs (Price&amp;Cost)'!C36</f>
        <v xml:space="preserve">Minor Networks and Standalone W/S  </v>
      </c>
      <c r="D37" s="9" t="str">
        <f>+'[1]SOW Work Pkgs (Price&amp;Cost)'!D36</f>
        <v>MNSAAR/2</v>
      </c>
      <c r="E37" s="9" t="str">
        <f>+'[1]SOW Work Pkgs (Price&amp;Cost)'!E36</f>
        <v>Administrative Support for &gt;20 and &lt;= 50 standalone Workstations or Laptops as detailed in Statement of Work in Ar Rustamiyah</v>
      </c>
      <c r="F37" s="84">
        <v>1.7000000000000001E-2</v>
      </c>
      <c r="G37" s="10">
        <f>+'[1]SOW Work Pkgs (Price&amp;Cost)'!G36</f>
        <v>7773</v>
      </c>
      <c r="H37" s="10">
        <f>+'[1]SOW Work Pkgs (Price&amp;Cost)'!H36</f>
        <v>6218</v>
      </c>
      <c r="I37" s="10">
        <f t="shared" si="0"/>
        <v>1555</v>
      </c>
      <c r="J37" s="11">
        <f t="shared" si="1"/>
        <v>0.25008041170794465</v>
      </c>
      <c r="K37" s="11"/>
      <c r="L37" s="13" t="str">
        <f>IF('[1]SOW Work Pkgs (Price&amp;Cost)'!P36=0,"","X")</f>
        <v/>
      </c>
      <c r="M37" s="12">
        <f t="shared" si="2"/>
        <v>93276</v>
      </c>
    </row>
    <row r="38" spans="2:13" ht="30">
      <c r="B38" s="57">
        <f>+'[1]SOW Work Pkgs (Price&amp;Cost)'!B37</f>
        <v>17</v>
      </c>
      <c r="C38" s="58" t="str">
        <f>+'[1]SOW Work Pkgs (Price&amp;Cost)'!C37</f>
        <v>VTC in AR</v>
      </c>
      <c r="D38" s="58" t="str">
        <f>+'[1]SOW Work Pkgs (Price&amp;Cost)'!D37</f>
        <v>VTCAR/1</v>
      </c>
      <c r="E38" s="58" t="str">
        <f>+'[1]SOW Work Pkgs (Price&amp;Cost)'!E37</f>
        <v>Provision, maintenance, operation and administration of VTC Services and equipment in the Ar Rustamiyah</v>
      </c>
      <c r="F38" s="58">
        <f>+'[1]SOW Work Pkgs (Price&amp;Cost)'!O37</f>
        <v>0</v>
      </c>
      <c r="G38" s="59">
        <f>+'[1]SOW Work Pkgs (Price&amp;Cost)'!G37</f>
        <v>0</v>
      </c>
      <c r="H38" s="59">
        <f>+'[1]SOW Work Pkgs (Price&amp;Cost)'!H37</f>
        <v>0</v>
      </c>
      <c r="I38" s="59">
        <f t="shared" si="0"/>
        <v>0</v>
      </c>
      <c r="J38" s="60" t="e">
        <f t="shared" si="1"/>
        <v>#DIV/0!</v>
      </c>
      <c r="K38" s="60"/>
      <c r="L38" s="61" t="str">
        <f>IF('[1]SOW Work Pkgs (Price&amp;Cost)'!P37=0,"","X")</f>
        <v>X</v>
      </c>
      <c r="M38" s="62">
        <f t="shared" si="2"/>
        <v>0</v>
      </c>
    </row>
    <row r="39" spans="2:13" ht="30">
      <c r="B39" s="57">
        <f>+'[1]SOW Work Pkgs (Price&amp;Cost)'!B38</f>
        <v>18</v>
      </c>
      <c r="C39" s="58" t="str">
        <f>+'[1]SOW Work Pkgs (Price&amp;Cost)'!C38</f>
        <v>Telephone Services</v>
      </c>
      <c r="D39" s="58" t="str">
        <f>+'[1]SOW Work Pkgs (Price&amp;Cost)'!D38</f>
        <v>TSAR/1</v>
      </c>
      <c r="E39" s="58" t="str">
        <f>+'[1]SOW Work Pkgs (Price&amp;Cost)'!E38</f>
        <v>Maintenance and operation of PBX and associated lines and handsets in Ar Rustamiyah and support of all telephone handsets</v>
      </c>
      <c r="F39" s="58">
        <f>+'[1]SOW Work Pkgs (Price&amp;Cost)'!O38</f>
        <v>0</v>
      </c>
      <c r="G39" s="59">
        <f>+'[1]SOW Work Pkgs (Price&amp;Cost)'!G38</f>
        <v>0</v>
      </c>
      <c r="H39" s="59">
        <f>+'[1]SOW Work Pkgs (Price&amp;Cost)'!H38</f>
        <v>0</v>
      </c>
      <c r="I39" s="59">
        <f t="shared" si="0"/>
        <v>0</v>
      </c>
      <c r="J39" s="60" t="e">
        <f t="shared" si="1"/>
        <v>#DIV/0!</v>
      </c>
      <c r="K39" s="60"/>
      <c r="L39" s="61" t="str">
        <f>IF('[1]SOW Work Pkgs (Price&amp;Cost)'!P38=0,"","X")</f>
        <v>X</v>
      </c>
      <c r="M39" s="62">
        <f t="shared" si="2"/>
        <v>0</v>
      </c>
    </row>
    <row r="40" spans="2:13">
      <c r="B40" s="57">
        <f>+'[1]SOW Work Pkgs (Price&amp;Cost)'!B39</f>
        <v>19</v>
      </c>
      <c r="C40" s="58" t="str">
        <f>+'[1]SOW Work Pkgs (Price&amp;Cost)'!C39</f>
        <v xml:space="preserve">SATCOM </v>
      </c>
      <c r="D40" s="58" t="str">
        <f>+'[1]SOW Work Pkgs (Price&amp;Cost)'!D39</f>
        <v>SATCAR/1</v>
      </c>
      <c r="E40" s="58" t="str">
        <f>+'[1]SOW Work Pkgs (Price&amp;Cost)'!E39</f>
        <v>Support to SATCOM in the Ar Rustamiyah</v>
      </c>
      <c r="F40" s="58">
        <f>+'[1]SOW Work Pkgs (Price&amp;Cost)'!O39</f>
        <v>0</v>
      </c>
      <c r="G40" s="59">
        <f>+'[1]SOW Work Pkgs (Price&amp;Cost)'!G39</f>
        <v>0</v>
      </c>
      <c r="H40" s="59">
        <f>+'[1]SOW Work Pkgs (Price&amp;Cost)'!H39</f>
        <v>0</v>
      </c>
      <c r="I40" s="59">
        <f t="shared" si="0"/>
        <v>0</v>
      </c>
      <c r="J40" s="60" t="e">
        <f t="shared" si="1"/>
        <v>#DIV/0!</v>
      </c>
      <c r="K40" s="60"/>
      <c r="L40" s="61" t="str">
        <f>IF('[1]SOW Work Pkgs (Price&amp;Cost)'!P39=0,"","X")</f>
        <v>X</v>
      </c>
      <c r="M40" s="62">
        <f t="shared" si="2"/>
        <v>0</v>
      </c>
    </row>
    <row r="41" spans="2:13">
      <c r="B41" s="14">
        <f>+'[1]SOW Work Pkgs (Price&amp;Cost)'!B40</f>
        <v>20</v>
      </c>
      <c r="C41" s="9" t="str">
        <f>+'[1]SOW Work Pkgs (Price&amp;Cost)'!C40</f>
        <v>DLOS</v>
      </c>
      <c r="D41" s="9" t="str">
        <f>+'[1]SOW Work Pkgs (Price&amp;Cost)'!D40</f>
        <v>DLOSAR/1</v>
      </c>
      <c r="E41" s="9" t="str">
        <f>+'[1]SOW Work Pkgs (Price&amp;Cost)'!E40</f>
        <v>Support to DLOS in the Ar Rustamiyah</v>
      </c>
      <c r="F41" s="9">
        <f>+'[1]SOW Work Pkgs (Price&amp;Cost)'!O40</f>
        <v>0</v>
      </c>
      <c r="G41" s="10">
        <f>+'[1]SOW Work Pkgs (Price&amp;Cost)'!G40</f>
        <v>4911</v>
      </c>
      <c r="H41" s="10">
        <f>+'[1]SOW Work Pkgs (Price&amp;Cost)'!H40</f>
        <v>3929</v>
      </c>
      <c r="I41" s="10">
        <f t="shared" si="0"/>
        <v>982</v>
      </c>
      <c r="J41" s="11">
        <f t="shared" si="1"/>
        <v>0.24993637057775514</v>
      </c>
      <c r="K41" s="11"/>
      <c r="L41" s="13" t="str">
        <f>IF('[1]SOW Work Pkgs (Price&amp;Cost)'!P40=0,"","X")</f>
        <v>X</v>
      </c>
      <c r="M41" s="12">
        <f t="shared" si="2"/>
        <v>58932</v>
      </c>
    </row>
    <row r="42" spans="2:13" ht="30">
      <c r="B42" s="14">
        <f>+'[1]SOW Work Pkgs (Price&amp;Cost)'!B41</f>
        <v>21</v>
      </c>
      <c r="C42" s="9" t="str">
        <f>+'[1]SOW Work Pkgs (Price&amp;Cost)'!C41</f>
        <v>Contract Management</v>
      </c>
      <c r="D42" s="9" t="str">
        <f>+'[1]SOW Work Pkgs (Price&amp;Cost)'!D41</f>
        <v>CMAR/1</v>
      </c>
      <c r="E42" s="9" t="str">
        <f>+'[1]SOW Work Pkgs (Price&amp;Cost)'!E41</f>
        <v>Management of O&amp;M contract for services provided to Ar Rustamiyah</v>
      </c>
      <c r="F42" s="9">
        <f>+'[1]SOW Work Pkgs (Price&amp;Cost)'!O41</f>
        <v>71.833333333333329</v>
      </c>
      <c r="G42" s="10">
        <f>+'[1]SOW Work Pkgs (Price&amp;Cost)'!G41</f>
        <v>18129.253333333334</v>
      </c>
      <c r="H42" s="10">
        <f>+'[1]SOW Work Pkgs (Price&amp;Cost)'!H41</f>
        <v>14503.253333333334</v>
      </c>
      <c r="I42" s="10">
        <f t="shared" si="0"/>
        <v>3626</v>
      </c>
      <c r="J42" s="11">
        <f t="shared" si="1"/>
        <v>0.25001287067545303</v>
      </c>
      <c r="K42" s="11"/>
      <c r="L42" s="13" t="str">
        <f>IF('[1]SOW Work Pkgs (Price&amp;Cost)'!P41=0,"","X")</f>
        <v>X</v>
      </c>
      <c r="M42" s="12">
        <f t="shared" si="2"/>
        <v>217551.04</v>
      </c>
    </row>
    <row r="43" spans="2:13" ht="45">
      <c r="B43" s="14" t="str">
        <f>+'[1]SOW Work Pkgs (Price&amp;Cost)'!B42</f>
        <v>22.a</v>
      </c>
      <c r="C43" s="9" t="str">
        <f>+'[1]SOW Work Pkgs (Price&amp;Cost)'!C42</f>
        <v>NSCD</v>
      </c>
      <c r="D43" s="9" t="str">
        <f>+'[1]SOW Work Pkgs (Price&amp;Cost)'!D42</f>
        <v>NSCD /1</v>
      </c>
      <c r="E43" s="9" t="str">
        <f>+'[1]SOW Work Pkgs (Price&amp;Cost)'!E42</f>
        <v>NS Network and cable Infrastructure, Desktop Support in Camp Dublin for all workstations while there is no NS server in Camp Dublin</v>
      </c>
      <c r="F43" s="9">
        <f>+'[1]SOW Work Pkgs (Price&amp;Cost)'!O42</f>
        <v>146.30000000000001</v>
      </c>
      <c r="G43" s="10">
        <f>+'[1]SOW Work Pkgs (Price&amp;Cost)'!G42</f>
        <v>15703.072</v>
      </c>
      <c r="H43" s="10">
        <f>+'[1]SOW Work Pkgs (Price&amp;Cost)'!H42</f>
        <v>12562.072</v>
      </c>
      <c r="I43" s="10">
        <f t="shared" si="0"/>
        <v>3141</v>
      </c>
      <c r="J43" s="11">
        <f t="shared" si="1"/>
        <v>0.25003836946643831</v>
      </c>
      <c r="K43" s="11"/>
      <c r="L43" s="13" t="str">
        <f>IF('[1]SOW Work Pkgs (Price&amp;Cost)'!P42=0,"","X")</f>
        <v>X</v>
      </c>
      <c r="M43" s="12">
        <f t="shared" si="2"/>
        <v>188436.864</v>
      </c>
    </row>
    <row r="44" spans="2:13" ht="45">
      <c r="B44" s="14" t="str">
        <f>+'[1]SOW Work Pkgs (Price&amp;Cost)'!B43</f>
        <v>22.b</v>
      </c>
      <c r="C44" s="9" t="str">
        <f>+'[1]SOW Work Pkgs (Price&amp;Cost)'!C43</f>
        <v>NSCD</v>
      </c>
      <c r="D44" s="9" t="str">
        <f>+'[1]SOW Work Pkgs (Price&amp;Cost)'!D43</f>
        <v>NSCD /2</v>
      </c>
      <c r="E44" s="9" t="str">
        <f>+'[1]SOW Work Pkgs (Price&amp;Cost)'!E43</f>
        <v>NS Server Admin, Network and cable Infrastructure, Desktop Support in Camp Dublin&lt;= 40 workstations (applicable only if an NS server is installed in CD)</v>
      </c>
      <c r="F44" s="9">
        <f>+'[1]SOW Work Pkgs (Price&amp;Cost)'!O43</f>
        <v>146.30000000000001</v>
      </c>
      <c r="G44" s="10">
        <f>+'[1]SOW Work Pkgs (Price&amp;Cost)'!G43</f>
        <v>15703.072</v>
      </c>
      <c r="H44" s="10">
        <f>+'[1]SOW Work Pkgs (Price&amp;Cost)'!H43</f>
        <v>12562.072</v>
      </c>
      <c r="I44" s="10">
        <f t="shared" si="0"/>
        <v>3141</v>
      </c>
      <c r="J44" s="11">
        <f t="shared" si="1"/>
        <v>0.25003836946643831</v>
      </c>
      <c r="K44" s="11"/>
      <c r="L44" s="13" t="str">
        <f>IF('[1]SOW Work Pkgs (Price&amp;Cost)'!P43=0,"","X")</f>
        <v/>
      </c>
      <c r="M44" s="12">
        <f t="shared" si="2"/>
        <v>188436.864</v>
      </c>
    </row>
    <row r="45" spans="2:13" ht="30">
      <c r="B45" s="14" t="str">
        <f>+'[1]SOW Work Pkgs (Price&amp;Cost)'!B44</f>
        <v>22.c</v>
      </c>
      <c r="C45" s="9" t="str">
        <f>+'[1]SOW Work Pkgs (Price&amp;Cost)'!C44</f>
        <v>NSCD</v>
      </c>
      <c r="D45" s="9" t="str">
        <f>+'[1]SOW Work Pkgs (Price&amp;Cost)'!D44</f>
        <v>NSCD /3</v>
      </c>
      <c r="E45" s="9" t="str">
        <f>+'[1]SOW Work Pkgs (Price&amp;Cost)'!E44</f>
        <v>NS Server Admin, Network and cable Infrastructure, Desktop Support in Camp Dublin &gt; 40 &lt;= 80 workstations</v>
      </c>
      <c r="F45" s="9">
        <f>+'[1]SOW Work Pkgs (Price&amp;Cost)'!O44</f>
        <v>146.30000000000001</v>
      </c>
      <c r="G45" s="10">
        <f>+'[1]SOW Work Pkgs (Price&amp;Cost)'!G44</f>
        <v>15703.072</v>
      </c>
      <c r="H45" s="10">
        <f>+'[1]SOW Work Pkgs (Price&amp;Cost)'!H44</f>
        <v>12562.072</v>
      </c>
      <c r="I45" s="10">
        <f t="shared" si="0"/>
        <v>3141</v>
      </c>
      <c r="J45" s="11">
        <f t="shared" si="1"/>
        <v>0.25003836946643831</v>
      </c>
      <c r="K45" s="11"/>
      <c r="L45" s="13" t="str">
        <f>IF('[1]SOW Work Pkgs (Price&amp;Cost)'!P44=0,"","X")</f>
        <v/>
      </c>
      <c r="M45" s="12">
        <f t="shared" si="2"/>
        <v>188436.864</v>
      </c>
    </row>
    <row r="46" spans="2:13" ht="30">
      <c r="B46" s="14" t="str">
        <f>+'[1]SOW Work Pkgs (Price&amp;Cost)'!B45</f>
        <v>23.a</v>
      </c>
      <c r="C46" s="9" t="str">
        <f>+'[1]SOW Work Pkgs (Price&amp;Cost)'!C45</f>
        <v>UNCD</v>
      </c>
      <c r="D46" s="9" t="str">
        <f>+'[1]SOW Work Pkgs (Price&amp;Cost)'!D45</f>
        <v>UNCD /1</v>
      </c>
      <c r="E46" s="9" t="str">
        <f>+'[1]SOW Work Pkgs (Price&amp;Cost)'!E45</f>
        <v xml:space="preserve">Unclassified Server Admin, Network and cable Infrastructure, Desktop Support in Camp Dublin for &lt;=40 Workstations </v>
      </c>
      <c r="F46" s="9">
        <f>+'[1]SOW Work Pkgs (Price&amp;Cost)'!O45</f>
        <v>186.2</v>
      </c>
      <c r="G46" s="10">
        <f>+'[1]SOW Work Pkgs (Price&amp;Cost)'!G45</f>
        <v>20496.97</v>
      </c>
      <c r="H46" s="10">
        <f>+'[1]SOW Work Pkgs (Price&amp;Cost)'!H45</f>
        <v>16396.97</v>
      </c>
      <c r="I46" s="10">
        <f t="shared" si="0"/>
        <v>4100</v>
      </c>
      <c r="J46" s="11">
        <f t="shared" si="1"/>
        <v>0.25004619755967106</v>
      </c>
      <c r="K46" s="11"/>
      <c r="L46" s="13" t="str">
        <f>IF('[1]SOW Work Pkgs (Price&amp;Cost)'!P45=0,"","X")</f>
        <v>X</v>
      </c>
      <c r="M46" s="12">
        <f t="shared" si="2"/>
        <v>245963.64</v>
      </c>
    </row>
    <row r="47" spans="2:13" ht="30">
      <c r="B47" s="14" t="str">
        <f>+'[1]SOW Work Pkgs (Price&amp;Cost)'!B46</f>
        <v>23.b</v>
      </c>
      <c r="C47" s="9" t="str">
        <f>+'[1]SOW Work Pkgs (Price&amp;Cost)'!C46</f>
        <v>UNCD</v>
      </c>
      <c r="D47" s="9" t="str">
        <f>+'[1]SOW Work Pkgs (Price&amp;Cost)'!D46</f>
        <v>UNCD /2</v>
      </c>
      <c r="E47" s="9" t="str">
        <f>+'[1]SOW Work Pkgs (Price&amp;Cost)'!E46</f>
        <v>Unclassified Server Admin, Network and cable Infrastructure, Desktop Support in Camp Dublin for &gt;40 and &lt;= 80 Workstations</v>
      </c>
      <c r="F47" s="9">
        <f>+'[1]SOW Work Pkgs (Price&amp;Cost)'!O46</f>
        <v>186.2</v>
      </c>
      <c r="G47" s="10">
        <f>+'[1]SOW Work Pkgs (Price&amp;Cost)'!G46</f>
        <v>20496.97</v>
      </c>
      <c r="H47" s="10">
        <f>+'[1]SOW Work Pkgs (Price&amp;Cost)'!H46</f>
        <v>16396.97</v>
      </c>
      <c r="I47" s="10">
        <f t="shared" si="0"/>
        <v>4100</v>
      </c>
      <c r="J47" s="11">
        <f t="shared" si="1"/>
        <v>0.25004619755967106</v>
      </c>
      <c r="K47" s="11"/>
      <c r="L47" s="13" t="str">
        <f>IF('[1]SOW Work Pkgs (Price&amp;Cost)'!P46=0,"","X")</f>
        <v/>
      </c>
      <c r="M47" s="12">
        <f t="shared" si="2"/>
        <v>245963.64</v>
      </c>
    </row>
    <row r="48" spans="2:13" ht="30">
      <c r="B48" s="14" t="str">
        <f>+'[1]SOW Work Pkgs (Price&amp;Cost)'!B47</f>
        <v>24.a</v>
      </c>
      <c r="C48" s="9" t="str">
        <f>+'[1]SOW Work Pkgs (Price&amp;Cost)'!C47</f>
        <v xml:space="preserve">Minor Networks and Standalone W/S  </v>
      </c>
      <c r="D48" s="9" t="str">
        <f>+'[1]SOW Work Pkgs (Price&amp;Cost)'!D47</f>
        <v>MNSACD/1</v>
      </c>
      <c r="E48" s="9" t="str">
        <f>+'[1]SOW Work Pkgs (Price&amp;Cost)'!E47</f>
        <v>Desktop Support for &lt;= 20 standalone workstations or Laptops in the Camp Dublin</v>
      </c>
      <c r="F48" s="9">
        <f>+'[1]SOW Work Pkgs (Price&amp;Cost)'!O47</f>
        <v>93.1</v>
      </c>
      <c r="G48" s="10">
        <f>+'[1]SOW Work Pkgs (Price&amp;Cost)'!G47</f>
        <v>10081.522000000001</v>
      </c>
      <c r="H48" s="10">
        <f>+'[1]SOW Work Pkgs (Price&amp;Cost)'!H47</f>
        <v>8065.5219999999999</v>
      </c>
      <c r="I48" s="10">
        <f t="shared" si="0"/>
        <v>2016.0000000000009</v>
      </c>
      <c r="J48" s="11">
        <f t="shared" si="1"/>
        <v>0.24995282388418269</v>
      </c>
      <c r="K48" s="11"/>
      <c r="L48" s="99" t="str">
        <f>IF('[1]SOW Work Pkgs (Price&amp;Cost)'!P47=0,"","X")</f>
        <v/>
      </c>
      <c r="M48" s="12">
        <f t="shared" si="2"/>
        <v>120978.26400000001</v>
      </c>
    </row>
    <row r="49" spans="2:13" ht="30">
      <c r="B49" s="14" t="str">
        <f>+'[1]SOW Work Pkgs (Price&amp;Cost)'!B48</f>
        <v>24.b</v>
      </c>
      <c r="C49" s="9" t="str">
        <f>+'[1]SOW Work Pkgs (Price&amp;Cost)'!C48</f>
        <v xml:space="preserve">Minor Networks and Standalone W/S  </v>
      </c>
      <c r="D49" s="9" t="str">
        <f>+'[1]SOW Work Pkgs (Price&amp;Cost)'!D48</f>
        <v>MNSACD/2</v>
      </c>
      <c r="E49" s="9" t="str">
        <f>+'[1]SOW Work Pkgs (Price&amp;Cost)'!E48</f>
        <v>Administrative Support for &gt;20 and &lt;= 100 standalone Workstations or Laptops as detailed in Statement of Work in Camp Dublin</v>
      </c>
      <c r="F49" s="9">
        <f>+'[1]SOW Work Pkgs (Price&amp;Cost)'!O48</f>
        <v>93.1</v>
      </c>
      <c r="G49" s="10">
        <f>+'[1]SOW Work Pkgs (Price&amp;Cost)'!G48</f>
        <v>10081.522000000001</v>
      </c>
      <c r="H49" s="10">
        <f>+'[1]SOW Work Pkgs (Price&amp;Cost)'!H48</f>
        <v>8065.5219999999999</v>
      </c>
      <c r="I49" s="10">
        <f t="shared" si="0"/>
        <v>2016.0000000000009</v>
      </c>
      <c r="J49" s="11">
        <f t="shared" si="1"/>
        <v>0.24995282388418269</v>
      </c>
      <c r="K49" s="11"/>
      <c r="L49" s="13" t="str">
        <f>IF('[1]SOW Work Pkgs (Price&amp;Cost)'!P48=0,"","X")</f>
        <v/>
      </c>
      <c r="M49" s="12">
        <f t="shared" si="2"/>
        <v>120978.26400000001</v>
      </c>
    </row>
    <row r="50" spans="2:13" ht="30">
      <c r="B50" s="57">
        <f>+'[1]SOW Work Pkgs (Price&amp;Cost)'!B49</f>
        <v>25</v>
      </c>
      <c r="C50" s="58" t="str">
        <f>+'[1]SOW Work Pkgs (Price&amp;Cost)'!C49</f>
        <v>VTC in CD</v>
      </c>
      <c r="D50" s="58" t="str">
        <f>+'[1]SOW Work Pkgs (Price&amp;Cost)'!D49</f>
        <v>PVTCCD/1</v>
      </c>
      <c r="E50" s="58" t="str">
        <f>+'[1]SOW Work Pkgs (Price&amp;Cost)'!E49</f>
        <v>Provision, maintenance, operation and administration of VTC Services and equipment in the Camp Dublin</v>
      </c>
      <c r="F50" s="58">
        <f>+'[1]SOW Work Pkgs (Price&amp;Cost)'!O49</f>
        <v>53.2</v>
      </c>
      <c r="G50" s="59">
        <f>+'[1]SOW Work Pkgs (Price&amp;Cost)'!G49</f>
        <v>5617.442</v>
      </c>
      <c r="H50" s="59">
        <f>+'[1]SOW Work Pkgs (Price&amp;Cost)'!H49</f>
        <v>4493.442</v>
      </c>
      <c r="I50" s="59">
        <f t="shared" si="0"/>
        <v>1124</v>
      </c>
      <c r="J50" s="60">
        <f t="shared" si="1"/>
        <v>0.25014231851662933</v>
      </c>
      <c r="K50" s="60"/>
      <c r="L50" s="61" t="str">
        <f>IF('[1]SOW Work Pkgs (Price&amp;Cost)'!P49=0,"","X")</f>
        <v/>
      </c>
      <c r="M50" s="62">
        <f t="shared" si="2"/>
        <v>67409.304000000004</v>
      </c>
    </row>
    <row r="51" spans="2:13" ht="30">
      <c r="B51" s="57">
        <f>+'[1]SOW Work Pkgs (Price&amp;Cost)'!B50</f>
        <v>26</v>
      </c>
      <c r="C51" s="58" t="str">
        <f>+'[1]SOW Work Pkgs (Price&amp;Cost)'!C50</f>
        <v>Telephone Services</v>
      </c>
      <c r="D51" s="58" t="str">
        <f>+'[1]SOW Work Pkgs (Price&amp;Cost)'!D50</f>
        <v>PTSCD/1</v>
      </c>
      <c r="E51" s="58" t="str">
        <f>+'[1]SOW Work Pkgs (Price&amp;Cost)'!E50</f>
        <v>Maintenance and operation of PBX and associated lines and handsets in Camp Dublin and support of all telephone handsets</v>
      </c>
      <c r="F51" s="58">
        <f>+'[1]SOW Work Pkgs (Price&amp;Cost)'!O50</f>
        <v>146.30000000000001</v>
      </c>
      <c r="G51" s="59">
        <f>+'[1]SOW Work Pkgs (Price&amp;Cost)'!G50</f>
        <v>15703.072</v>
      </c>
      <c r="H51" s="59">
        <f>+'[1]SOW Work Pkgs (Price&amp;Cost)'!H50</f>
        <v>12562.072</v>
      </c>
      <c r="I51" s="59">
        <f t="shared" si="0"/>
        <v>3141</v>
      </c>
      <c r="J51" s="60">
        <f t="shared" si="1"/>
        <v>0.25003836946643831</v>
      </c>
      <c r="K51" s="60"/>
      <c r="L51" s="61" t="str">
        <f>IF('[1]SOW Work Pkgs (Price&amp;Cost)'!P50=0,"","X")</f>
        <v>X</v>
      </c>
      <c r="M51" s="62">
        <f t="shared" si="2"/>
        <v>188436.864</v>
      </c>
    </row>
    <row r="52" spans="2:13">
      <c r="B52" s="57">
        <f>+'[1]SOW Work Pkgs (Price&amp;Cost)'!B51</f>
        <v>27</v>
      </c>
      <c r="C52" s="58" t="str">
        <f>+'[1]SOW Work Pkgs (Price&amp;Cost)'!C51</f>
        <v xml:space="preserve">SATCOM </v>
      </c>
      <c r="D52" s="58" t="str">
        <f>+'[1]SOW Work Pkgs (Price&amp;Cost)'!D51</f>
        <v>SATCCD/1</v>
      </c>
      <c r="E52" s="58" t="str">
        <f>+'[1]SOW Work Pkgs (Price&amp;Cost)'!E51</f>
        <v>Support to SATCOM in the Camp Dublin</v>
      </c>
      <c r="F52" s="58">
        <f>+'[1]SOW Work Pkgs (Price&amp;Cost)'!O51</f>
        <v>53.2</v>
      </c>
      <c r="G52" s="59">
        <f>+'[1]SOW Work Pkgs (Price&amp;Cost)'!G51</f>
        <v>5617.442</v>
      </c>
      <c r="H52" s="59">
        <f>+'[1]SOW Work Pkgs (Price&amp;Cost)'!H51</f>
        <v>4493.442</v>
      </c>
      <c r="I52" s="59">
        <f t="shared" si="0"/>
        <v>1124</v>
      </c>
      <c r="J52" s="60">
        <f t="shared" si="1"/>
        <v>0.25014231851662933</v>
      </c>
      <c r="K52" s="60"/>
      <c r="L52" s="61" t="str">
        <f>IF('[1]SOW Work Pkgs (Price&amp;Cost)'!P51=0,"","X")</f>
        <v/>
      </c>
      <c r="M52" s="62">
        <f t="shared" si="2"/>
        <v>67409.304000000004</v>
      </c>
    </row>
    <row r="53" spans="2:13">
      <c r="B53" s="14">
        <f>+'[1]SOW Work Pkgs (Price&amp;Cost)'!B52</f>
        <v>28</v>
      </c>
      <c r="C53" s="9" t="str">
        <f>+'[1]SOW Work Pkgs (Price&amp;Cost)'!C52</f>
        <v>DLOS</v>
      </c>
      <c r="D53" s="9" t="str">
        <f>+'[1]SOW Work Pkgs (Price&amp;Cost)'!D52</f>
        <v>DLOSCD/1</v>
      </c>
      <c r="E53" s="9" t="str">
        <f>+'[1]SOW Work Pkgs (Price&amp;Cost)'!E52</f>
        <v>Support to DLOS in the Camp Dublin</v>
      </c>
      <c r="F53" s="9">
        <f>+'[1]SOW Work Pkgs (Price&amp;Cost)'!O52</f>
        <v>53.2</v>
      </c>
      <c r="G53" s="10">
        <f>+'[1]SOW Work Pkgs (Price&amp;Cost)'!G52</f>
        <v>10528.441999999999</v>
      </c>
      <c r="H53" s="10">
        <f>+'[1]SOW Work Pkgs (Price&amp;Cost)'!H52</f>
        <v>8422.4419999999991</v>
      </c>
      <c r="I53" s="10">
        <f t="shared" si="0"/>
        <v>2106</v>
      </c>
      <c r="J53" s="11">
        <f t="shared" si="1"/>
        <v>0.25004624549507143</v>
      </c>
      <c r="K53" s="11"/>
      <c r="L53" s="13" t="str">
        <f>IF('[1]SOW Work Pkgs (Price&amp;Cost)'!P52=0,"","X")</f>
        <v>X</v>
      </c>
      <c r="M53" s="12">
        <f t="shared" si="2"/>
        <v>126341.30399999999</v>
      </c>
    </row>
    <row r="54" spans="2:13">
      <c r="B54" s="14">
        <f>+'[1]SOW Work Pkgs (Price&amp;Cost)'!B53</f>
        <v>29</v>
      </c>
      <c r="C54" s="9" t="str">
        <f>+'[1]SOW Work Pkgs (Price&amp;Cost)'!C53</f>
        <v>Contract Management</v>
      </c>
      <c r="D54" s="9" t="str">
        <f>+'[1]SOW Work Pkgs (Price&amp;Cost)'!D53</f>
        <v>CMCD/1</v>
      </c>
      <c r="E54" s="9" t="str">
        <f>+'[1]SOW Work Pkgs (Price&amp;Cost)'!E53</f>
        <v>Management of O&amp;M contract for services provided to Camp Dublin</v>
      </c>
      <c r="F54" s="9">
        <f>+'[1]SOW Work Pkgs (Price&amp;Cost)'!O53</f>
        <v>71.833333333333329</v>
      </c>
      <c r="G54" s="10">
        <f>+'[1]SOW Work Pkgs (Price&amp;Cost)'!G53</f>
        <v>18129.253333333334</v>
      </c>
      <c r="H54" s="10">
        <f>+'[1]SOW Work Pkgs (Price&amp;Cost)'!H53</f>
        <v>14503.253333333334</v>
      </c>
      <c r="I54" s="10">
        <f t="shared" si="0"/>
        <v>3626</v>
      </c>
      <c r="J54" s="11">
        <f t="shared" si="1"/>
        <v>0.25001287067545303</v>
      </c>
      <c r="K54" s="11"/>
      <c r="L54" s="13" t="str">
        <f>IF('[1]SOW Work Pkgs (Price&amp;Cost)'!P53=0,"","X")</f>
        <v>X</v>
      </c>
      <c r="M54" s="12">
        <f t="shared" si="2"/>
        <v>217551.04</v>
      </c>
    </row>
    <row r="55" spans="2:13">
      <c r="B55" s="15"/>
      <c r="C55" s="15" t="s">
        <v>17</v>
      </c>
      <c r="D55" s="15"/>
      <c r="E55" s="15"/>
      <c r="F55" s="39">
        <f ca="1">SUMIF($L$10:$L$55,"X",F10:F54)</f>
        <v>2304.0169999999998</v>
      </c>
      <c r="G55" s="16">
        <f ca="1">SUMIF($L$10:$L$55,"X",G10:G54)</f>
        <v>354520.43851127819</v>
      </c>
      <c r="H55" s="16">
        <f ca="1">SUMIF($L$10:$L$55,"X",H10:H54)</f>
        <v>283610.43851127825</v>
      </c>
      <c r="I55" s="16">
        <f t="shared" ca="1" si="0"/>
        <v>70909.999999999942</v>
      </c>
      <c r="J55" s="17">
        <f t="shared" ca="1" si="1"/>
        <v>0.2500260581811416</v>
      </c>
      <c r="K55" s="17"/>
      <c r="L55" s="18"/>
      <c r="M55" s="16">
        <f ca="1">SUMIF($L$10:$L$55,"X",M10:M54)</f>
        <v>4254245.262135338</v>
      </c>
    </row>
    <row r="57" spans="2:13">
      <c r="F57" s="40"/>
    </row>
    <row r="58" spans="2:13">
      <c r="F58" s="40"/>
    </row>
  </sheetData>
  <mergeCells count="1">
    <mergeCell ref="F8:J8"/>
  </mergeCells>
  <phoneticPr fontId="6" type="noConversion"/>
  <pageMargins left="0" right="0" top="0.1" bottom="0.2" header="0.3" footer="0.1"/>
  <pageSetup paperSize="17" scale="57" orientation="landscape" r:id="rId1"/>
  <headerFooter>
    <oddFooter>&amp;CMANTECH PROPRIETARY INFORMATION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37"/>
  <sheetViews>
    <sheetView workbookViewId="0">
      <selection activeCell="F11" sqref="F11"/>
    </sheetView>
  </sheetViews>
  <sheetFormatPr defaultRowHeight="15"/>
  <cols>
    <col min="1" max="1" width="2" customWidth="1"/>
    <col min="2" max="2" width="10.28515625" bestFit="1" customWidth="1"/>
    <col min="3" max="3" width="15.28515625" hidden="1" customWidth="1"/>
    <col min="4" max="5" width="20.140625" customWidth="1"/>
    <col min="6" max="6" width="23.85546875" bestFit="1" customWidth="1"/>
    <col min="7" max="8" width="20.140625" customWidth="1"/>
  </cols>
  <sheetData>
    <row r="1" spans="2:8">
      <c r="B1" s="54" t="str">
        <f>Summary!B1</f>
        <v>RFP:</v>
      </c>
      <c r="D1" s="54" t="str">
        <f>Summary!C1</f>
        <v>JLA10030/LR-RBG-6000447673</v>
      </c>
    </row>
    <row r="2" spans="2:8">
      <c r="B2" s="54" t="str">
        <f>Summary!B2</f>
        <v>Title:</v>
      </c>
      <c r="D2" s="54" t="str">
        <f>Summary!C2</f>
        <v>NATO ITM-I</v>
      </c>
    </row>
    <row r="3" spans="2:8">
      <c r="B3" s="54" t="str">
        <f>Summary!B3</f>
        <v>Offeror:</v>
      </c>
      <c r="D3" s="54" t="str">
        <f>Summary!C3</f>
        <v>ManTech Telecommunications and Information Systems Corporation</v>
      </c>
    </row>
    <row r="4" spans="2:8">
      <c r="B4" s="54" t="str">
        <f>Summary!B4</f>
        <v>PL:</v>
      </c>
      <c r="D4" s="54" t="str">
        <f>Summary!C4</f>
        <v>P-13526</v>
      </c>
    </row>
    <row r="5" spans="2:8">
      <c r="B5" s="54" t="str">
        <f>Summary!B5</f>
        <v>Report:</v>
      </c>
      <c r="D5" s="54" t="s">
        <v>99</v>
      </c>
    </row>
    <row r="8" spans="2:8">
      <c r="C8" s="53" t="s">
        <v>26</v>
      </c>
      <c r="D8" s="53" t="s">
        <v>107</v>
      </c>
      <c r="E8" s="53" t="s">
        <v>95</v>
      </c>
      <c r="F8" s="53" t="s">
        <v>96</v>
      </c>
      <c r="G8" s="53" t="s">
        <v>97</v>
      </c>
      <c r="H8" s="53" t="s">
        <v>98</v>
      </c>
    </row>
    <row r="9" spans="2:8">
      <c r="B9" s="1" t="s">
        <v>80</v>
      </c>
      <c r="C9" s="5">
        <f ca="1">Summary!$C23</f>
        <v>4254245.262135338</v>
      </c>
      <c r="D9" s="5">
        <f ca="1">+$C9</f>
        <v>4254245.262135338</v>
      </c>
      <c r="E9" s="5">
        <v>4188535.289655338</v>
      </c>
      <c r="F9" s="5">
        <v>3991924.3309353376</v>
      </c>
      <c r="G9" s="5">
        <v>4063961.5309353387</v>
      </c>
      <c r="H9" s="5">
        <v>3738881.5309353387</v>
      </c>
    </row>
    <row r="10" spans="2:8">
      <c r="B10" s="1" t="s">
        <v>81</v>
      </c>
      <c r="C10" s="5">
        <f ca="1">Summary!$C24</f>
        <v>4326567.4315916384</v>
      </c>
      <c r="D10" s="5">
        <f t="shared" ref="D10:D11" ca="1" si="0">+$C10</f>
        <v>4326567.4315916384</v>
      </c>
      <c r="E10" s="5">
        <v>4259740.3895794787</v>
      </c>
      <c r="F10" s="5">
        <v>4059787.044561238</v>
      </c>
      <c r="G10" s="5">
        <v>4133048.8769612391</v>
      </c>
      <c r="H10" s="5">
        <v>3802442.5169612393</v>
      </c>
    </row>
    <row r="11" spans="2:8">
      <c r="B11" s="1" t="s">
        <v>82</v>
      </c>
      <c r="C11" s="5">
        <f ca="1">Summary!$C25</f>
        <v>4400119.0779286958</v>
      </c>
      <c r="D11" s="5">
        <f t="shared" ca="1" si="0"/>
        <v>4400119.0779286958</v>
      </c>
      <c r="E11" s="5">
        <v>4332155.9762023296</v>
      </c>
      <c r="F11" s="5">
        <v>4128803.4243187788</v>
      </c>
      <c r="G11" s="5">
        <v>4203310.70786958</v>
      </c>
      <c r="H11" s="5">
        <v>3867084.03974958</v>
      </c>
    </row>
    <row r="12" spans="2:8">
      <c r="B12" s="51" t="s">
        <v>17</v>
      </c>
      <c r="C12" s="52">
        <f t="shared" ref="C12" ca="1" si="1">+SUM(C9:C11)</f>
        <v>12980931.771655671</v>
      </c>
      <c r="D12" s="52">
        <f t="shared" ref="D12" ca="1" si="2">+SUM(D9:D11)</f>
        <v>12980931.771655671</v>
      </c>
      <c r="E12" s="52">
        <f t="shared" ref="E12:H12" si="3">+SUM(E9:E11)</f>
        <v>12780431.655437147</v>
      </c>
      <c r="F12" s="52">
        <f t="shared" si="3"/>
        <v>12180514.799815355</v>
      </c>
      <c r="G12" s="52">
        <f t="shared" si="3"/>
        <v>12400321.115766158</v>
      </c>
      <c r="H12" s="52">
        <f t="shared" si="3"/>
        <v>11408408.087646158</v>
      </c>
    </row>
    <row r="13" spans="2:8">
      <c r="B13" s="1"/>
      <c r="C13" s="1"/>
      <c r="D13" s="1"/>
      <c r="E13" s="1"/>
      <c r="F13" s="1"/>
      <c r="G13" s="1"/>
      <c r="H13" s="1"/>
    </row>
    <row r="14" spans="2:8">
      <c r="B14" s="1" t="s">
        <v>32</v>
      </c>
      <c r="C14" s="7">
        <f>'[1]WBS-Price'!$O$49</f>
        <v>83556</v>
      </c>
      <c r="D14" s="7">
        <f>+$C14*12</f>
        <v>1002672</v>
      </c>
      <c r="E14" s="7">
        <v>1034568</v>
      </c>
      <c r="F14" s="7">
        <v>1034568</v>
      </c>
      <c r="G14" s="7">
        <v>1034568</v>
      </c>
      <c r="H14" s="7">
        <v>1034568</v>
      </c>
    </row>
    <row r="15" spans="2:8">
      <c r="B15" s="1" t="s">
        <v>83</v>
      </c>
      <c r="C15" s="7">
        <f>'[1]WBS-Price'!$O$53</f>
        <v>36491.5</v>
      </c>
      <c r="D15" s="7">
        <f t="shared" ref="D15:D22" si="4">+$C15*12</f>
        <v>437898</v>
      </c>
      <c r="E15" s="7">
        <v>367834.31999999995</v>
      </c>
      <c r="F15" s="7">
        <v>262738.8</v>
      </c>
      <c r="G15" s="7">
        <v>262738.8</v>
      </c>
      <c r="H15" s="7">
        <v>262738.8</v>
      </c>
    </row>
    <row r="16" spans="2:8">
      <c r="B16" s="1" t="s">
        <v>84</v>
      </c>
      <c r="C16" s="7">
        <f>'[1]WBS-Price'!$O$58</f>
        <v>36018</v>
      </c>
      <c r="D16" s="7">
        <f t="shared" si="4"/>
        <v>432216</v>
      </c>
      <c r="E16" s="7">
        <v>420696</v>
      </c>
      <c r="F16" s="7">
        <v>389172</v>
      </c>
      <c r="G16" s="7">
        <v>389172</v>
      </c>
      <c r="H16" s="7">
        <v>389172</v>
      </c>
    </row>
    <row r="17" spans="2:8">
      <c r="B17" s="1" t="s">
        <v>85</v>
      </c>
      <c r="C17" s="7">
        <f>'[1]WBS-Price'!$O$62</f>
        <v>3236</v>
      </c>
      <c r="D17" s="7">
        <f t="shared" si="4"/>
        <v>38832</v>
      </c>
      <c r="E17" s="7">
        <v>43212</v>
      </c>
      <c r="F17" s="7">
        <v>40476</v>
      </c>
      <c r="G17" s="7">
        <v>40476</v>
      </c>
      <c r="H17" s="7">
        <v>40476</v>
      </c>
    </row>
    <row r="18" spans="2:8">
      <c r="B18" s="1" t="s">
        <v>40</v>
      </c>
      <c r="C18" s="7">
        <f>'[1]WBS-Price'!$O$82</f>
        <v>44439.938511278189</v>
      </c>
      <c r="D18" s="7">
        <f t="shared" si="4"/>
        <v>533279.26213533827</v>
      </c>
      <c r="E18" s="7">
        <v>530756.96965533833</v>
      </c>
      <c r="F18" s="7">
        <v>526973.53093533823</v>
      </c>
      <c r="G18" s="7">
        <v>579498.73093533842</v>
      </c>
      <c r="H18" s="7">
        <v>579498.73093533842</v>
      </c>
    </row>
    <row r="19" spans="2:8">
      <c r="B19" s="1" t="s">
        <v>86</v>
      </c>
      <c r="C19" s="7">
        <f>'[1]WBS-Price'!$O$90</f>
        <v>1000</v>
      </c>
      <c r="D19" s="7">
        <f t="shared" si="4"/>
        <v>12000</v>
      </c>
      <c r="E19" s="7">
        <v>12000</v>
      </c>
      <c r="F19" s="7">
        <v>12000</v>
      </c>
      <c r="G19" s="7">
        <v>12000</v>
      </c>
      <c r="H19" s="7">
        <v>12000</v>
      </c>
    </row>
    <row r="20" spans="2:8">
      <c r="B20" s="1" t="s">
        <v>88</v>
      </c>
      <c r="C20" s="7">
        <f>'[1]WBS-Price'!$O$98</f>
        <v>57077</v>
      </c>
      <c r="D20" s="7">
        <f t="shared" si="4"/>
        <v>684924</v>
      </c>
      <c r="E20" s="7">
        <v>684924</v>
      </c>
      <c r="F20" s="7">
        <v>684924</v>
      </c>
      <c r="G20" s="7">
        <v>684924</v>
      </c>
      <c r="H20" s="7">
        <v>684924</v>
      </c>
    </row>
    <row r="21" spans="2:8">
      <c r="B21" s="1" t="s">
        <v>87</v>
      </c>
      <c r="C21" s="7">
        <f>'[1]WBS-Price'!$O$102</f>
        <v>1548</v>
      </c>
      <c r="D21" s="7">
        <f t="shared" si="4"/>
        <v>18576</v>
      </c>
      <c r="E21" s="7">
        <v>18576</v>
      </c>
      <c r="F21" s="7">
        <v>18576</v>
      </c>
      <c r="G21" s="7">
        <v>18576</v>
      </c>
      <c r="H21" s="7">
        <v>18576</v>
      </c>
    </row>
    <row r="22" spans="2:8">
      <c r="B22" s="1" t="s">
        <v>89</v>
      </c>
      <c r="C22" s="7">
        <f>'[1]WBS-Price'!$O$108</f>
        <v>20244</v>
      </c>
      <c r="D22" s="7">
        <f t="shared" si="4"/>
        <v>242928</v>
      </c>
      <c r="E22" s="7">
        <v>238224</v>
      </c>
      <c r="F22" s="7">
        <v>224064</v>
      </c>
      <c r="G22" s="7">
        <v>229200</v>
      </c>
      <c r="H22" s="7">
        <v>229200</v>
      </c>
    </row>
    <row r="23" spans="2:8">
      <c r="B23" s="1" t="s">
        <v>21</v>
      </c>
      <c r="C23" s="7">
        <f t="shared" ref="C23:H23" si="5">SUM(C14:C22)</f>
        <v>283610.43851127819</v>
      </c>
      <c r="D23" s="7">
        <f t="shared" si="5"/>
        <v>3403325.262135338</v>
      </c>
      <c r="E23" s="7">
        <f t="shared" si="5"/>
        <v>3350791.289655338</v>
      </c>
      <c r="F23" s="7">
        <f t="shared" si="5"/>
        <v>3193492.3309353385</v>
      </c>
      <c r="G23" s="7">
        <f t="shared" si="5"/>
        <v>3251153.5309353387</v>
      </c>
      <c r="H23" s="7">
        <f t="shared" si="5"/>
        <v>3251153.5309353387</v>
      </c>
    </row>
    <row r="24" spans="2:8">
      <c r="B24" s="1" t="s">
        <v>10</v>
      </c>
      <c r="C24" s="7">
        <f>'[1]WBS-Price'!$O$117</f>
        <v>70910</v>
      </c>
      <c r="D24" s="7">
        <f>+$C24*12</f>
        <v>850920</v>
      </c>
      <c r="E24" s="7">
        <v>837744</v>
      </c>
      <c r="F24" s="7">
        <v>798432</v>
      </c>
      <c r="G24" s="7">
        <v>812808</v>
      </c>
      <c r="H24" s="7">
        <v>487728</v>
      </c>
    </row>
    <row r="25" spans="2:8">
      <c r="B25" s="51" t="s">
        <v>90</v>
      </c>
      <c r="C25" s="52">
        <f t="shared" ref="C25" si="6">SUM(C23:C24)</f>
        <v>354520.43851127819</v>
      </c>
      <c r="D25" s="52">
        <f t="shared" ref="D25" si="7">SUM(D23:D24)</f>
        <v>4254245.262135338</v>
      </c>
      <c r="E25" s="52">
        <f t="shared" ref="E25:H25" si="8">SUM(E23:E24)</f>
        <v>4188535.289655338</v>
      </c>
      <c r="F25" s="52">
        <f t="shared" si="8"/>
        <v>3991924.3309353385</v>
      </c>
      <c r="G25" s="52">
        <f t="shared" si="8"/>
        <v>4063961.5309353387</v>
      </c>
      <c r="H25" s="52">
        <f t="shared" si="8"/>
        <v>3738881.5309353387</v>
      </c>
    </row>
    <row r="27" spans="2:8">
      <c r="B27" s="51" t="s">
        <v>91</v>
      </c>
      <c r="C27" s="55"/>
      <c r="D27" s="55"/>
      <c r="E27" s="55">
        <f>E25-D25</f>
        <v>-65709.972479999997</v>
      </c>
      <c r="F27" s="55">
        <f>F25-E25</f>
        <v>-196610.95871999953</v>
      </c>
      <c r="G27" s="55">
        <f>G25-F25</f>
        <v>72037.200000000186</v>
      </c>
      <c r="H27" s="55">
        <f>H25-G25</f>
        <v>-325080</v>
      </c>
    </row>
    <row r="28" spans="2:8">
      <c r="B28" s="51" t="s">
        <v>92</v>
      </c>
      <c r="C28" s="55"/>
      <c r="D28" s="55"/>
      <c r="E28" s="56">
        <f>E27/D25</f>
        <v>-1.5445741472605676E-2</v>
      </c>
      <c r="F28" s="56">
        <f>F27/E25</f>
        <v>-4.6940265539980222E-2</v>
      </c>
      <c r="G28" s="56">
        <f>G27/F25</f>
        <v>1.8045732841614589E-2</v>
      </c>
      <c r="H28" s="56">
        <f>H27/G25</f>
        <v>-7.999091465936721E-2</v>
      </c>
    </row>
    <row r="29" spans="2:8">
      <c r="B29" s="51" t="s">
        <v>93</v>
      </c>
      <c r="C29" s="55"/>
      <c r="D29" s="55"/>
      <c r="E29" s="55">
        <f>E25-$D$25</f>
        <v>-65709.972479999997</v>
      </c>
      <c r="F29" s="55">
        <f>F25-$D$25</f>
        <v>-262320.93119999953</v>
      </c>
      <c r="G29" s="55">
        <f>G25-$D$25</f>
        <v>-190283.73119999934</v>
      </c>
      <c r="H29" s="55">
        <f>H25-$D$25</f>
        <v>-515363.73119999934</v>
      </c>
    </row>
    <row r="30" spans="2:8">
      <c r="B30" s="51" t="s">
        <v>94</v>
      </c>
      <c r="C30" s="55"/>
      <c r="D30" s="55"/>
      <c r="E30" s="56">
        <f>E29/$D$25</f>
        <v>-1.5445741472605676E-2</v>
      </c>
      <c r="F30" s="56">
        <f>F29/$D$25</f>
        <v>-6.1660979806399903E-2</v>
      </c>
      <c r="G30" s="56">
        <f>G29/$D$25</f>
        <v>-4.4727964533123797E-2</v>
      </c>
      <c r="H30" s="56">
        <f>H29/$D$25</f>
        <v>-0.1211410483986347</v>
      </c>
    </row>
    <row r="37" spans="6:6">
      <c r="F37" s="85"/>
    </row>
  </sheetData>
  <phoneticPr fontId="6" type="noConversion"/>
  <pageMargins left="0.7" right="0.7" top="0.75" bottom="0.75" header="0.3" footer="0.3"/>
  <pageSetup orientation="landscape" r:id="rId1"/>
  <headerFooter>
    <oddFooter>&amp;CMANTECH PROPRIETARY INFORMATION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